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autoCompressPictures="0"/>
  <xr:revisionPtr revIDLastSave="0" documentId="13_ncr:1_{778594BF-9DE2-41D7-9558-59FB5BCC9623}" xr6:coauthVersionLast="47" xr6:coauthVersionMax="47" xr10:uidLastSave="{00000000-0000-0000-0000-000000000000}"/>
  <bookViews>
    <workbookView xWindow="-108" yWindow="-108" windowWidth="23256" windowHeight="12576" tabRatio="710" xr2:uid="{00000000-000D-0000-FFFF-FFFF00000000}"/>
  </bookViews>
  <sheets>
    <sheet name="Impressum" sheetId="23" r:id="rId1"/>
    <sheet name="Description" sheetId="24" r:id="rId2"/>
    <sheet name="Calculator" sheetId="7" r:id="rId3"/>
    <sheet name="Results" sheetId="21" r:id="rId4"/>
    <sheet name="Chart table" sheetId="22" r:id="rId5"/>
    <sheet name="Input_Prices" sheetId="18" r:id="rId6"/>
    <sheet name="Input_Processes" sheetId="19" r:id="rId7"/>
    <sheet name="Sources" sheetId="20" r:id="rId8"/>
  </sheets>
  <externalReferences>
    <externalReference r:id="rId9"/>
    <externalReference r:id="rId10"/>
    <externalReference r:id="rId11"/>
    <externalReference r:id="rId12"/>
  </externalReferences>
  <definedNames>
    <definedName name="_weg2">[1]SEITE99!$AP$5</definedName>
    <definedName name="A1A">[2]SEITE99!$AK$23</definedName>
    <definedName name="A1AE">'[3]Teil 1-2'!$AK$23</definedName>
    <definedName name="A1B">[2]SEITE99!$AL$25</definedName>
    <definedName name="A1BE">'[3]Teil 1-2'!$AL$25</definedName>
    <definedName name="A2A">[2]SEITE99!$AL$27</definedName>
    <definedName name="A2A1">[2]SEITE99!$AN$28</definedName>
    <definedName name="A2A1E">'[3]Teil 1-2'!$AN$28</definedName>
    <definedName name="A2AE">'[3]Teil 1-2'!$AL$27</definedName>
    <definedName name="A2B">[2]SEITE99!$AL$30</definedName>
    <definedName name="A2BE">'[3]Teil 1-2'!$AL$30</definedName>
    <definedName name="A3_1">[2]SEITE99!$AA$37</definedName>
    <definedName name="A3_1E">'[3]Teil 1-2'!$AA$37</definedName>
    <definedName name="A3_2">[2]SEITE99!$AN$37</definedName>
    <definedName name="A3_2E">'[3]Teil 1-2'!$AN$37</definedName>
    <definedName name="A3A_1">[2]SEITE99!$AA$38</definedName>
    <definedName name="A3A_1E">'[3]Teil 1-2'!$AA$38</definedName>
    <definedName name="A3A_2">[2]SEITE99!$AN$38</definedName>
    <definedName name="A3A_2E">'[3]Teil 1-2'!$AN$38</definedName>
    <definedName name="A4_1">[2]SEITE99!$AA$43</definedName>
    <definedName name="A4_1E">'[3]Teil 1-2'!$AA$43</definedName>
    <definedName name="A4_2">[2]SEITE99!$AN$43</definedName>
    <definedName name="A4_2E">'[3]Teil 1-2'!$AN$43</definedName>
    <definedName name="A4A_1">[2]SEITE99!$AA$44</definedName>
    <definedName name="A4A_1E">'[3]Teil 1-2'!$AA$44</definedName>
    <definedName name="A4A_2">[2]SEITE99!$AN$44</definedName>
    <definedName name="A4A_2E">'[3]Teil 1-2'!$AN$44</definedName>
    <definedName name="A4B_1">[2]SEITE99!$AA$45</definedName>
    <definedName name="A4B_1E">'[3]Teil 1-2'!$AA$45</definedName>
    <definedName name="A4B_2">[2]SEITE99!$AN$45</definedName>
    <definedName name="A4B_2E">'[3]Teil 1-2'!$AN$45</definedName>
    <definedName name="A5_1">[2]SEITE99!$AL$51</definedName>
    <definedName name="A5_1E">'[3]Teil 1-2'!$AL$51</definedName>
    <definedName name="B5_2E">'[3]Teil 1-2'!$AN$53</definedName>
    <definedName name="Bearbeiter">[2]SEITE99!$AL$7</definedName>
    <definedName name="D14_1_1">[2]SEITE99!$M$85</definedName>
    <definedName name="D14_1_1E">'[3]Teil 1-2'!$M$85</definedName>
    <definedName name="D14_1_3">[2]SEITE99!$AO$85</definedName>
    <definedName name="D14_1_3E">'[3]Teil 1-2'!$AO$85</definedName>
    <definedName name="D14_2_1">[2]SEITE99!$M$87</definedName>
    <definedName name="D14_2_1E">'[3]Teil 1-2'!$M$87</definedName>
    <definedName name="D14_2_3">[2]SEITE99!$AO$87</definedName>
    <definedName name="D14_2_3E">'[3]Teil 1-2'!$AO$87</definedName>
    <definedName name="D14_3_1">[2]SEITE99!$M$89</definedName>
    <definedName name="D14_3_1E">'[3]Teil 1-2'!$M$89</definedName>
    <definedName name="D14_3_3">[2]SEITE99!$AO$89</definedName>
    <definedName name="D14_3_3E">'[3]Teil 1-2'!$AO$89</definedName>
    <definedName name="D14_4_1">[2]SEITE99!$M$91</definedName>
    <definedName name="D14_4_1E">'[3]Teil 1-2'!$M$91</definedName>
    <definedName name="D14_4_3">[2]SEITE99!$AO$91</definedName>
    <definedName name="D14_4_3E">'[3]Teil 1-2'!$AO$91</definedName>
    <definedName name="D14_5_1">[2]SEITE99!$M$93</definedName>
    <definedName name="D14_5_1E">'[3]Teil 1-2'!$M$93</definedName>
    <definedName name="D14_5_3">[2]SEITE99!$AO$93</definedName>
    <definedName name="D14_5_3E">'[3]Teil 1-2'!$AO$93</definedName>
    <definedName name="D14_6_1">[2]SEITE99!$L$95</definedName>
    <definedName name="D14_6_1E">'[3]Teil 1-2'!$L$95</definedName>
    <definedName name="D14_6_3">[2]SEITE99!$AO$95</definedName>
    <definedName name="D14_6_3E">'[3]Teil 1-2'!$AO$95</definedName>
    <definedName name="D14_7_1">[2]SEITE99!$L$97</definedName>
    <definedName name="D14_7_1E">'[3]Teil 1-2'!$L$97</definedName>
    <definedName name="D14_7_3">[2]SEITE99!$AO$97</definedName>
    <definedName name="D14_7_3E">'[3]Teil 1-2'!$AO$97</definedName>
    <definedName name="D14_8_1">[2]SEITE99!$L$99</definedName>
    <definedName name="D14_8_1E">'[3]Teil 1-2'!$L$99</definedName>
    <definedName name="D14_8_3">[2]SEITE99!$AO$99</definedName>
    <definedName name="D14_8_3E">'[3]Teil 1-2'!$AO$99</definedName>
    <definedName name="D14A">[2]SEITE99!$AB$106</definedName>
    <definedName name="D14AE">'[3]Teil 1-2'!$AB$106</definedName>
    <definedName name="D15_1_1">[2]SEITE99!$M$124</definedName>
    <definedName name="D15_1_1E">'[3]Teil 1-2'!$M$124</definedName>
    <definedName name="D15_1_3">[2]SEITE99!$AO$124</definedName>
    <definedName name="D15_1_3E">'[3]Teil 1-2'!$AO$124</definedName>
    <definedName name="D15_2_1">[2]SEITE99!$M$126</definedName>
    <definedName name="D15_2_1E">'[3]Teil 1-2'!$M$126</definedName>
    <definedName name="D15_2_3">[2]SEITE99!$AO$126</definedName>
    <definedName name="D15_2_3E">'[3]Teil 1-2'!$AO$126</definedName>
    <definedName name="D15_3_1">[2]SEITE99!$M$128</definedName>
    <definedName name="D15_3_1E">'[3]Teil 1-2'!$M$128</definedName>
    <definedName name="D15_3_3">[2]SEITE99!$AO$128</definedName>
    <definedName name="D15_3_3E">'[3]Teil 1-2'!$AO$128</definedName>
    <definedName name="D15_4_1">[2]SEITE99!$M$130</definedName>
    <definedName name="D15_4_1E">'[3]Teil 1-2'!$M$130</definedName>
    <definedName name="D15_4_3">[2]SEITE99!$AO$130</definedName>
    <definedName name="D15_4_3E">'[3]Teil 1-2'!$AO$130</definedName>
    <definedName name="D15_5_1">[2]SEITE99!$M$132</definedName>
    <definedName name="D15_5_1E">'[3]Teil 1-2'!$M$132</definedName>
    <definedName name="D15_5_3">[2]SEITE99!$AO$132</definedName>
    <definedName name="D15_5_3E">'[3]Teil 1-2'!$AO$132</definedName>
    <definedName name="D15_6_1">[2]SEITE99!$M$134</definedName>
    <definedName name="D15_6_1E">'[3]Teil 1-2'!$M$134</definedName>
    <definedName name="D15_6_3">[2]SEITE99!$AO$134</definedName>
    <definedName name="D15_6_3E">'[3]Teil 1-2'!$AO$134</definedName>
    <definedName name="D15_7_1">[2]SEITE99!$M$136</definedName>
    <definedName name="D15_7_1E">'[3]Teil 1-2'!$M$136</definedName>
    <definedName name="D15_7_3">[2]SEITE99!$AO$136</definedName>
    <definedName name="D15_7_3E">'[3]Teil 1-2'!$AO$136</definedName>
    <definedName name="D15_8_1">[2]SEITE99!$M$138</definedName>
    <definedName name="D15_8_1E">'[3]Teil 1-2'!$M$138</definedName>
    <definedName name="D15_8_3">[2]SEITE99!$AO$138</definedName>
    <definedName name="D15_8_3E">'[3]Teil 1-2'!$AO$138</definedName>
    <definedName name="D16_1">[2]SEITE99!$M$145</definedName>
    <definedName name="D16_10E">'[3]Teil 1-2'!$AO$147</definedName>
    <definedName name="D16_1E">'[3]Teil 1-2'!$M$143</definedName>
    <definedName name="D16_3">[2]SEITE99!$AO$145</definedName>
    <definedName name="D16_3E">'[3]Teil 1-2'!$AO$143</definedName>
    <definedName name="D16_4E">'[3]Teil 1-2'!$M$145</definedName>
    <definedName name="D16_6E">'[3]Teil 1-2'!$AO$145</definedName>
    <definedName name="D16_8E">'[3]Teil 1-2'!$M$147</definedName>
    <definedName name="dampf">[2]SEITE99!$BI$5</definedName>
    <definedName name="Dauer_RV">[2]SEITE99!$AP$5</definedName>
    <definedName name="Dauer_RVS">'[3]Teil 2'!$AP$5</definedName>
    <definedName name="Dauer_UA">[2]SEITE99!$AP$6</definedName>
    <definedName name="Dauer_UAE">'[3]Teil 1-2'!$AP$6</definedName>
    <definedName name="E17_1">[2]SEITE99!$AH$152</definedName>
    <definedName name="E17_1E">'[3]Teil 1-2'!$AH$154</definedName>
    <definedName name="E18_1">[2]SEITE99!$AH$153</definedName>
    <definedName name="E18_1E">'[3]Teil 1-2'!$AH$155</definedName>
    <definedName name="E20A">[2]SEITE99!$AH$155</definedName>
    <definedName name="E20AE">'[3]Teil 1-2'!$AH$157</definedName>
    <definedName name="E20B">[2]SEITE99!$AH$156</definedName>
    <definedName name="E20BE">'[3]Teil 1-2'!$AH$158</definedName>
    <definedName name="Fabrik">[2]SEITE99!$I$6</definedName>
    <definedName name="FabrikE">'[3]Teil 1-2'!$I$6</definedName>
    <definedName name="HJ1_Kfrei">[2]SEITE99!$BD$5</definedName>
    <definedName name="HJ2_Kfrei">[2]SEITE99!$BD$6</definedName>
    <definedName name="J51_1_1">[2]SEITE99!$M$295</definedName>
    <definedName name="J51_1_1E">'[3]Teil 1-2'!$M$297</definedName>
    <definedName name="J51_1_3">[2]SEITE99!$AO$295</definedName>
    <definedName name="J51_1_3E">'[3]Teil 1-2'!$AO$297</definedName>
    <definedName name="J51_2_1">[2]SEITE99!$M$297</definedName>
    <definedName name="J51_2_1E">'[3]Teil 1-2'!$M$299</definedName>
    <definedName name="J51_2_3">[2]SEITE99!$AO$297</definedName>
    <definedName name="J51_2_3E">'[3]Teil 1-2'!$AO$299</definedName>
    <definedName name="J51_3_1">[2]SEITE99!$M$299</definedName>
    <definedName name="J51_3_1E">'[3]Teil 1-2'!$M$301</definedName>
    <definedName name="J51_3_3">[2]SEITE99!$AO$299</definedName>
    <definedName name="J51_3_3E">'[3]Teil 1-2'!$AO$301</definedName>
    <definedName name="J51_4_1">[2]SEITE99!$M$301</definedName>
    <definedName name="J51_4_1E">'[3]Teil 1-2'!$M$303</definedName>
    <definedName name="J51_4_3">[2]SEITE99!$AO$301</definedName>
    <definedName name="J51_4_3E">'[3]Teil 1-2'!$AO$303</definedName>
    <definedName name="J51_5_1">[2]SEITE99!$M$303</definedName>
    <definedName name="J51_5_1E">'[3]Teil 1-2'!$M$305</definedName>
    <definedName name="J51_5_3">[2]SEITE99!$AO$303</definedName>
    <definedName name="J51_5_3E">'[3]Teil 1-2'!$AO$305</definedName>
    <definedName name="J51_6_1">[2]SEITE99!$M$305</definedName>
    <definedName name="J51_6_1E">'[3]Teil 1-2'!$M$307</definedName>
    <definedName name="J51_6_3">[2]SEITE99!$AO$305</definedName>
    <definedName name="J51_6_3E">'[3]Teil 1-2'!$AO$307</definedName>
    <definedName name="J51_7_1">[2]SEITE99!$M$307</definedName>
    <definedName name="J51_7_1E">'[3]Teil 1-2'!$M$309</definedName>
    <definedName name="J51_7_3">[2]SEITE99!$AO$307</definedName>
    <definedName name="J51_7_3E">'[3]Teil 1-2'!$AO$309</definedName>
    <definedName name="J51_8_1">[2]SEITE99!$M$309</definedName>
    <definedName name="J51_8_1E">'[3]Teil 1-2'!$M$311</definedName>
    <definedName name="J51_8_3">[2]SEITE99!$AO$309</definedName>
    <definedName name="J51_8_3E">'[3]Teil 1-2'!$AO$311</definedName>
    <definedName name="J52_1">[2]SEITE99!$AB$313</definedName>
    <definedName name="J52_1E">'[3]Teil 1-2'!$AB$315</definedName>
    <definedName name="K53_1">[2]SEITE99!$AI$320</definedName>
    <definedName name="K53_1E">'[3]Teil 1-2'!$AI$322</definedName>
    <definedName name="K54_1">[2]SEITE99!$AI$321</definedName>
    <definedName name="K54_1E">'[3]Teil 1-2'!$AI$323</definedName>
    <definedName name="K56A">[2]SEITE99!$AI$323</definedName>
    <definedName name="K56AE">'[3]Teil 1-2'!$AI$325</definedName>
    <definedName name="K56B">[2]SEITE99!$AI$324</definedName>
    <definedName name="K56BE">'[3]Teil 1-2'!$AI$326</definedName>
    <definedName name="Kampagne">[2]SEITE99!$I$5</definedName>
    <definedName name="Kfrei">'[3]Teil 1-2'!$BD$5</definedName>
    <definedName name="Kfrei_1">'[3]Teil 1-2'!$BD$6</definedName>
    <definedName name="M68_1_1">[2]SEITE99!$M$369</definedName>
    <definedName name="M68_1_1E">'[3]Teil 1-2'!$M$371</definedName>
    <definedName name="M68_1_3">[2]SEITE99!$AO$369</definedName>
    <definedName name="M68_1_3E">'[3]Teil 1-2'!$AO$371</definedName>
    <definedName name="M68_2_1">[2]SEITE99!$M$371</definedName>
    <definedName name="M68_2_1E">'[3]Teil 1-2'!$M$373</definedName>
    <definedName name="M68_2_3">[2]SEITE99!$AO$371</definedName>
    <definedName name="M68_2_3E">'[3]Teil 1-2'!$AO$373</definedName>
    <definedName name="M68_3_1">[2]SEITE99!$M$373</definedName>
    <definedName name="M68_3_1E">'[3]Teil 1-2'!$M$375</definedName>
    <definedName name="M68_3_3">[2]SEITE99!$AO$373</definedName>
    <definedName name="M68_3_3E">'[3]Teil 1-2'!$AO$375</definedName>
    <definedName name="M68_4_1">[2]SEITE99!$M$375</definedName>
    <definedName name="M68_4_1E">'[3]Teil 1-2'!$M$377</definedName>
    <definedName name="M68_4_3">[2]SEITE99!$AO$375</definedName>
    <definedName name="M68_4_3E">'[3]Teil 1-2'!$AO$377</definedName>
    <definedName name="M68_5_1">[2]SEITE99!$M$377</definedName>
    <definedName name="M68_5_1E">'[3]Teil 1-2'!$M$379</definedName>
    <definedName name="M68_5_3">[2]SEITE99!$AO$377</definedName>
    <definedName name="M68_5_3E">'[3]Teil 1-2'!$AO$379</definedName>
    <definedName name="M68_6_1">[2]SEITE99!$M$379</definedName>
    <definedName name="M68_6_1E">'[3]Teil 1-2'!$M$381</definedName>
    <definedName name="M68_6_3">[2]SEITE99!$AO$379</definedName>
    <definedName name="M68_6_3E">'[3]Teil 1-2'!$AO$381</definedName>
    <definedName name="M68_7_1">[2]SEITE99!$M$381</definedName>
    <definedName name="M68_7_1E">'[3]Teil 1-2'!$M$383</definedName>
    <definedName name="M68_7_3">[2]SEITE99!$AO$381</definedName>
    <definedName name="M68_7_3E">'[3]Teil 1-2'!$AO$383</definedName>
    <definedName name="M68_8_1">[2]SEITE99!$M$383</definedName>
    <definedName name="M68_8_1E">'[3]Teil 1-2'!$M$385</definedName>
    <definedName name="M68_8_3">[2]SEITE99!$AO$383</definedName>
    <definedName name="M68_8_3E">'[3]Teil 1-2'!$AO$385</definedName>
    <definedName name="M69_1">[2]SEITE99!$AB$388</definedName>
    <definedName name="M69_1E">'[3]Teil 1-2'!$AB$390</definedName>
    <definedName name="N70_1">[2]SEITE99!$AI$398</definedName>
    <definedName name="N70_1E">'[3]Teil 1-2'!$AI$400</definedName>
    <definedName name="N71_1">[2]SEITE99!$AI$399</definedName>
    <definedName name="N71_1E">'[3]Teil 1-2'!$AI$401</definedName>
    <definedName name="N73A">[2]SEITE99!$AI$401</definedName>
    <definedName name="N73AE">'[3]Teil 1-2'!$AI$403</definedName>
    <definedName name="N73B">[2]SEITE99!$AI$402</definedName>
    <definedName name="N73BE">'[3]Teil 1-2'!$AI$404</definedName>
    <definedName name="weg">[1]SEITE99!$I$5</definedName>
    <definedName name="wegweg">[4]SEITE99!$I$5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1" i="22" l="1"/>
  <c r="E11" i="22"/>
  <c r="O51" i="21"/>
  <c r="O52" i="21"/>
  <c r="O53" i="21"/>
  <c r="O54" i="21"/>
  <c r="K32" i="23"/>
  <c r="D14" i="7" l="1"/>
  <c r="D47" i="7" l="1"/>
  <c r="D50" i="7" s="1"/>
  <c r="L13" i="18" l="1"/>
  <c r="N41" i="7" l="1"/>
  <c r="AT39" i="7" l="1"/>
  <c r="AT38" i="7"/>
  <c r="AT43" i="7"/>
  <c r="AH43" i="7"/>
  <c r="AT42" i="7"/>
  <c r="AO42" i="7"/>
  <c r="AO41" i="7"/>
  <c r="AL41" i="7"/>
  <c r="AT41" i="7" s="1"/>
  <c r="AO40" i="7"/>
  <c r="AL40" i="7"/>
  <c r="AT40" i="7" s="1"/>
  <c r="AH39" i="7"/>
  <c r="AH38" i="7"/>
  <c r="AH42" i="7"/>
  <c r="AC42" i="7"/>
  <c r="AC41" i="7"/>
  <c r="AC40" i="7"/>
  <c r="Z41" i="7"/>
  <c r="AH41" i="7" s="1"/>
  <c r="Z40" i="7"/>
  <c r="AH40" i="7" s="1"/>
  <c r="V42" i="7"/>
  <c r="Q42" i="7"/>
  <c r="Q41" i="7"/>
  <c r="Q40" i="7"/>
  <c r="N40" i="7"/>
  <c r="V40" i="7" s="1"/>
  <c r="V41" i="7"/>
  <c r="Q50" i="21" l="1"/>
  <c r="F25" i="19"/>
  <c r="D15" i="7"/>
  <c r="J15" i="7" s="1"/>
  <c r="Q54" i="21"/>
  <c r="F84" i="19"/>
  <c r="F85" i="19" s="1"/>
  <c r="F33" i="19"/>
  <c r="F154" i="19"/>
  <c r="F155" i="19" s="1"/>
  <c r="F161" i="19" s="1"/>
  <c r="AL13" i="7" s="1"/>
  <c r="AT13" i="7" s="1"/>
  <c r="F89" i="19"/>
  <c r="AT10" i="7"/>
  <c r="AT11" i="7"/>
  <c r="AT15" i="7"/>
  <c r="AT16" i="7"/>
  <c r="AT26" i="7"/>
  <c r="AQ26" i="7" s="1"/>
  <c r="AH10" i="7"/>
  <c r="AH11" i="7"/>
  <c r="AH14" i="7"/>
  <c r="AH15" i="7"/>
  <c r="AH16" i="7"/>
  <c r="AH26" i="7"/>
  <c r="V13" i="7"/>
  <c r="V14" i="7"/>
  <c r="V15" i="7"/>
  <c r="V17" i="7"/>
  <c r="V19" i="7"/>
  <c r="V26" i="7"/>
  <c r="S26" i="7" s="1"/>
  <c r="V29" i="7"/>
  <c r="V30" i="7"/>
  <c r="V31" i="7"/>
  <c r="V32" i="7"/>
  <c r="S50" i="21"/>
  <c r="S51" i="21"/>
  <c r="S52" i="21"/>
  <c r="S53" i="21"/>
  <c r="S54" i="21"/>
  <c r="J51" i="18"/>
  <c r="I51" i="18"/>
  <c r="L51" i="18" s="1"/>
  <c r="J52" i="18"/>
  <c r="I52" i="18"/>
  <c r="L52" i="18" s="1"/>
  <c r="J53" i="18"/>
  <c r="I53" i="18"/>
  <c r="L53" i="18" s="1"/>
  <c r="J54" i="18"/>
  <c r="I54" i="18"/>
  <c r="L54" i="18" s="1"/>
  <c r="J50" i="18"/>
  <c r="I50" i="18" s="1"/>
  <c r="L50" i="18" s="1"/>
  <c r="F55" i="18"/>
  <c r="D10" i="7"/>
  <c r="J10" i="7" s="1"/>
  <c r="F17" i="18"/>
  <c r="L17" i="18" s="1"/>
  <c r="D11" i="7" s="1"/>
  <c r="J11" i="7" s="1"/>
  <c r="O17" i="18"/>
  <c r="N17" i="18"/>
  <c r="Q51" i="21"/>
  <c r="Q52" i="21"/>
  <c r="Q53" i="21"/>
  <c r="L56" i="18"/>
  <c r="L19" i="18"/>
  <c r="D16" i="7" s="1"/>
  <c r="J16" i="7" s="1"/>
  <c r="AE16" i="7" s="1"/>
  <c r="D17" i="7"/>
  <c r="J17" i="7" s="1"/>
  <c r="D12" i="7"/>
  <c r="Q48" i="7"/>
  <c r="J47" i="7"/>
  <c r="G55" i="18"/>
  <c r="J55" i="18" s="1"/>
  <c r="I55" i="18" s="1"/>
  <c r="L55" i="18" s="1"/>
  <c r="Z37" i="7"/>
  <c r="AH37" i="7" s="1"/>
  <c r="AE37" i="7" s="1"/>
  <c r="AC37" i="7"/>
  <c r="AE26" i="7"/>
  <c r="J30" i="7"/>
  <c r="J31" i="7"/>
  <c r="S31" i="7" s="1"/>
  <c r="D32" i="7"/>
  <c r="J32" i="7" s="1"/>
  <c r="G30" i="7"/>
  <c r="G29" i="7"/>
  <c r="AO26" i="7"/>
  <c r="AC26" i="7"/>
  <c r="Q26" i="7"/>
  <c r="L25" i="18"/>
  <c r="D22" i="7" s="1"/>
  <c r="J22" i="7" s="1"/>
  <c r="L24" i="18"/>
  <c r="D19" i="7"/>
  <c r="J19" i="7" s="1"/>
  <c r="L23" i="18"/>
  <c r="D20" i="7" s="1"/>
  <c r="J20" i="7" s="1"/>
  <c r="L21" i="18"/>
  <c r="D21" i="7" s="1"/>
  <c r="J21" i="7" s="1"/>
  <c r="L18" i="18"/>
  <c r="D18" i="7" s="1"/>
  <c r="J18" i="7" s="1"/>
  <c r="D13" i="7"/>
  <c r="J13" i="7" s="1"/>
  <c r="L14" i="18"/>
  <c r="J50" i="7"/>
  <c r="S30" i="7"/>
  <c r="C9" i="22"/>
  <c r="F159" i="19"/>
  <c r="F166" i="19"/>
  <c r="Z24" i="7"/>
  <c r="AH24" i="7" s="1"/>
  <c r="AE24" i="7" s="1"/>
  <c r="AL24" i="7"/>
  <c r="AT24" i="7" s="1"/>
  <c r="AQ24" i="7" s="1"/>
  <c r="F77" i="19"/>
  <c r="F137" i="19"/>
  <c r="F141" i="19" s="1"/>
  <c r="F80" i="19"/>
  <c r="N47" i="7"/>
  <c r="V47" i="7" s="1"/>
  <c r="C35" i="22"/>
  <c r="C36" i="22"/>
  <c r="C37" i="22"/>
  <c r="C38" i="22"/>
  <c r="C34" i="22"/>
  <c r="O50" i="21"/>
  <c r="C42" i="22"/>
  <c r="D43" i="22" s="1"/>
  <c r="F53" i="21"/>
  <c r="AC50" i="7"/>
  <c r="AC48" i="7"/>
  <c r="AC47" i="7"/>
  <c r="AC36" i="7"/>
  <c r="Q50" i="7"/>
  <c r="Q47" i="7"/>
  <c r="Q39" i="7"/>
  <c r="Q38" i="7"/>
  <c r="Q37" i="7"/>
  <c r="Q36" i="7"/>
  <c r="AL37" i="7"/>
  <c r="AT37" i="7" s="1"/>
  <c r="AQ37" i="7" s="1"/>
  <c r="AL36" i="7"/>
  <c r="AT36" i="7" s="1"/>
  <c r="AQ36" i="7" s="1"/>
  <c r="AL22" i="7"/>
  <c r="AT22" i="7" s="1"/>
  <c r="F131" i="19"/>
  <c r="AL21" i="7" s="1"/>
  <c r="AT21" i="7" s="1"/>
  <c r="AO25" i="7"/>
  <c r="AO24" i="7"/>
  <c r="AO22" i="7"/>
  <c r="AO21" i="7"/>
  <c r="AO20" i="7"/>
  <c r="AO19" i="7"/>
  <c r="AO18" i="7"/>
  <c r="AO17" i="7"/>
  <c r="AO16" i="7"/>
  <c r="AO15" i="7"/>
  <c r="AO14" i="7"/>
  <c r="AO13" i="7"/>
  <c r="AO12" i="7"/>
  <c r="AO11" i="7"/>
  <c r="AO10" i="7"/>
  <c r="Z36" i="7"/>
  <c r="AH36" i="7" s="1"/>
  <c r="AE36" i="7" s="1"/>
  <c r="N24" i="7"/>
  <c r="V24" i="7" s="1"/>
  <c r="S24" i="7" s="1"/>
  <c r="Z22" i="7"/>
  <c r="AH22" i="7" s="1"/>
  <c r="Z21" i="7"/>
  <c r="AH21" i="7" s="1"/>
  <c r="AC25" i="7"/>
  <c r="AC24" i="7"/>
  <c r="AC22" i="7"/>
  <c r="AC21" i="7"/>
  <c r="AC20" i="7"/>
  <c r="AC19" i="7"/>
  <c r="AC18" i="7"/>
  <c r="AC17" i="7"/>
  <c r="AC16" i="7"/>
  <c r="AC15" i="7"/>
  <c r="AC14" i="7"/>
  <c r="AC13" i="7"/>
  <c r="AC12" i="7"/>
  <c r="AC11" i="7"/>
  <c r="AC10" i="7"/>
  <c r="Q25" i="7"/>
  <c r="Q24" i="7"/>
  <c r="Q11" i="7"/>
  <c r="Q12" i="7"/>
  <c r="Q13" i="7"/>
  <c r="Q14" i="7"/>
  <c r="Q15" i="7"/>
  <c r="Q16" i="7"/>
  <c r="Q17" i="7"/>
  <c r="Q18" i="7"/>
  <c r="Q19" i="7"/>
  <c r="Q20" i="7"/>
  <c r="Q21" i="7"/>
  <c r="Q22" i="7"/>
  <c r="Q10" i="7"/>
  <c r="N39" i="7"/>
  <c r="V39" i="7" s="1"/>
  <c r="S39" i="7" s="1"/>
  <c r="N36" i="7"/>
  <c r="V36" i="7" s="1"/>
  <c r="S36" i="7" s="1"/>
  <c r="N38" i="7"/>
  <c r="V38" i="7" s="1"/>
  <c r="S38" i="7" s="1"/>
  <c r="N37" i="7"/>
  <c r="V37" i="7" s="1"/>
  <c r="S37" i="7" s="1"/>
  <c r="N21" i="7"/>
  <c r="V21" i="7" s="1"/>
  <c r="N12" i="7"/>
  <c r="G11" i="7"/>
  <c r="G12" i="7"/>
  <c r="G13" i="7"/>
  <c r="G14" i="7"/>
  <c r="G15" i="7"/>
  <c r="G16" i="7"/>
  <c r="G17" i="7"/>
  <c r="G18" i="7"/>
  <c r="G19" i="7"/>
  <c r="G20" i="7"/>
  <c r="G21" i="7"/>
  <c r="G22" i="7"/>
  <c r="G10" i="7"/>
  <c r="F175" i="19"/>
  <c r="F150" i="19"/>
  <c r="AL12" i="7" s="1"/>
  <c r="F133" i="19"/>
  <c r="AL19" i="7" s="1"/>
  <c r="AT19" i="7" s="1"/>
  <c r="F132" i="19"/>
  <c r="AL20" i="7"/>
  <c r="AT20" i="7" s="1"/>
  <c r="F130" i="19"/>
  <c r="AL18" i="7" s="1"/>
  <c r="AT18" i="7" s="1"/>
  <c r="F129" i="19"/>
  <c r="AL17" i="7" s="1"/>
  <c r="AT17" i="7" s="1"/>
  <c r="F107" i="19"/>
  <c r="F96" i="19"/>
  <c r="F98" i="19" s="1"/>
  <c r="Z47" i="7" s="1"/>
  <c r="K27" i="22" s="1"/>
  <c r="F75" i="19"/>
  <c r="Z19" i="7" s="1"/>
  <c r="AH19" i="7" s="1"/>
  <c r="F74" i="19"/>
  <c r="N20" i="7" s="1"/>
  <c r="V20" i="7" s="1"/>
  <c r="Z20" i="7"/>
  <c r="AH20" i="7" s="1"/>
  <c r="F73" i="19"/>
  <c r="Z18" i="7" s="1"/>
  <c r="AH18" i="7" s="1"/>
  <c r="F71" i="19"/>
  <c r="Z17" i="7" s="1"/>
  <c r="AH17" i="7" s="1"/>
  <c r="F47" i="19"/>
  <c r="F38" i="19"/>
  <c r="N22" i="7"/>
  <c r="V22" i="7" s="1"/>
  <c r="F29" i="19"/>
  <c r="N11" i="7" s="1"/>
  <c r="V11" i="7" s="1"/>
  <c r="F23" i="19"/>
  <c r="N16" i="7" s="1"/>
  <c r="V16" i="7" s="1"/>
  <c r="N18" i="7"/>
  <c r="V18" i="7" s="1"/>
  <c r="D48" i="7"/>
  <c r="F81" i="19" l="1"/>
  <c r="Z12" i="7" s="1"/>
  <c r="AH12" i="7" s="1"/>
  <c r="AT12" i="7"/>
  <c r="AL50" i="7" s="1"/>
  <c r="F91" i="19"/>
  <c r="Z13" i="7" s="1"/>
  <c r="AH13" i="7" s="1"/>
  <c r="AE13" i="7" s="1"/>
  <c r="F92" i="19"/>
  <c r="N10" i="7"/>
  <c r="V10" i="7" s="1"/>
  <c r="N48" i="7" s="1"/>
  <c r="V12" i="7"/>
  <c r="F162" i="19"/>
  <c r="F144" i="19"/>
  <c r="N50" i="7"/>
  <c r="J14" i="7"/>
  <c r="C39" i="22"/>
  <c r="D46" i="22"/>
  <c r="E17" i="21"/>
  <c r="C11" i="22" s="1"/>
  <c r="P52" i="21"/>
  <c r="J12" i="7"/>
  <c r="S12" i="7" s="1"/>
  <c r="D20" i="22" s="1"/>
  <c r="P51" i="21"/>
  <c r="D29" i="7"/>
  <c r="J29" i="7" s="1"/>
  <c r="S29" i="7" s="1"/>
  <c r="AE20" i="7"/>
  <c r="AQ19" i="7"/>
  <c r="S20" i="7"/>
  <c r="AQ20" i="7"/>
  <c r="P53" i="21"/>
  <c r="S21" i="7"/>
  <c r="AE10" i="7"/>
  <c r="K34" i="22" s="1"/>
  <c r="AH47" i="7"/>
  <c r="AE47" i="7" s="1"/>
  <c r="S22" i="7"/>
  <c r="AE22" i="7"/>
  <c r="I27" i="22"/>
  <c r="S17" i="7"/>
  <c r="AQ17" i="7"/>
  <c r="F16" i="22" s="1"/>
  <c r="AQ22" i="7"/>
  <c r="AE17" i="7"/>
  <c r="E16" i="22" s="1"/>
  <c r="S18" i="7"/>
  <c r="AQ13" i="7"/>
  <c r="F21" i="22" s="1"/>
  <c r="AQ16" i="7"/>
  <c r="S32" i="7"/>
  <c r="V50" i="7"/>
  <c r="S50" i="7" s="1"/>
  <c r="AQ21" i="7"/>
  <c r="S16" i="7"/>
  <c r="D16" i="22" s="1"/>
  <c r="J48" i="7"/>
  <c r="S47" i="7"/>
  <c r="H11" i="22" s="1"/>
  <c r="AE18" i="7"/>
  <c r="AE11" i="7"/>
  <c r="AQ11" i="7"/>
  <c r="S11" i="7"/>
  <c r="AE21" i="7"/>
  <c r="AE19" i="7"/>
  <c r="S19" i="7"/>
  <c r="AQ10" i="7"/>
  <c r="AE15" i="7"/>
  <c r="S15" i="7"/>
  <c r="AQ15" i="7"/>
  <c r="S44" i="7"/>
  <c r="S13" i="7"/>
  <c r="P54" i="21"/>
  <c r="P50" i="21"/>
  <c r="AQ18" i="7"/>
  <c r="AQ44" i="7"/>
  <c r="AE44" i="7"/>
  <c r="AL48" i="7" l="1"/>
  <c r="F27" i="22" s="1"/>
  <c r="Z48" i="7"/>
  <c r="Z50" i="7"/>
  <c r="AH50" i="7"/>
  <c r="AE50" i="7" s="1"/>
  <c r="R46" i="22" s="1"/>
  <c r="E27" i="22"/>
  <c r="E38" i="22" s="1"/>
  <c r="S10" i="7"/>
  <c r="D19" i="22" s="1"/>
  <c r="AL14" i="7"/>
  <c r="F145" i="19"/>
  <c r="K44" i="22"/>
  <c r="L44" i="22" s="1"/>
  <c r="S14" i="7"/>
  <c r="I36" i="22" s="1"/>
  <c r="AE14" i="7"/>
  <c r="K38" i="22" s="1"/>
  <c r="AQ12" i="7"/>
  <c r="F20" i="22" s="1"/>
  <c r="E19" i="22"/>
  <c r="AE12" i="7"/>
  <c r="K36" i="22" s="1"/>
  <c r="AT50" i="7"/>
  <c r="AQ50" i="7" s="1"/>
  <c r="D17" i="22"/>
  <c r="J35" i="22"/>
  <c r="D9" i="22"/>
  <c r="N25" i="7"/>
  <c r="V25" i="7" s="1"/>
  <c r="S25" i="7" s="1"/>
  <c r="D22" i="22" s="1"/>
  <c r="F17" i="22"/>
  <c r="I35" i="22"/>
  <c r="P46" i="22"/>
  <c r="Q46" i="22"/>
  <c r="I29" i="22"/>
  <c r="J29" i="22"/>
  <c r="L11" i="22"/>
  <c r="D11" i="22" s="1"/>
  <c r="AT48" i="7"/>
  <c r="AQ48" i="7" s="1"/>
  <c r="J11" i="22" s="1"/>
  <c r="AL47" i="7"/>
  <c r="AT47" i="7" s="1"/>
  <c r="AQ47" i="7" s="1"/>
  <c r="F19" i="22"/>
  <c r="J37" i="22"/>
  <c r="E21" i="22"/>
  <c r="K37" i="22"/>
  <c r="V48" i="7"/>
  <c r="S48" i="7" s="1"/>
  <c r="J27" i="22"/>
  <c r="I38" i="22"/>
  <c r="J38" i="22"/>
  <c r="D21" i="22"/>
  <c r="K35" i="22"/>
  <c r="AH48" i="7"/>
  <c r="AE48" i="7" s="1"/>
  <c r="I11" i="22" s="1"/>
  <c r="E17" i="22"/>
  <c r="AL25" i="7"/>
  <c r="AT25" i="7" s="1"/>
  <c r="AQ25" i="7" s="1"/>
  <c r="F22" i="22" s="1"/>
  <c r="Z25" i="7"/>
  <c r="AH25" i="7" s="1"/>
  <c r="AE25" i="7" s="1"/>
  <c r="E22" i="22" s="1"/>
  <c r="E9" i="22"/>
  <c r="F9" i="22"/>
  <c r="K29" i="22"/>
  <c r="G44" i="22"/>
  <c r="F29" i="22" l="1"/>
  <c r="P16" i="21"/>
  <c r="D44" i="22"/>
  <c r="J36" i="22"/>
  <c r="AT14" i="7"/>
  <c r="AQ14" i="7" s="1"/>
  <c r="F18" i="22" s="1"/>
  <c r="I37" i="22"/>
  <c r="F37" i="22" s="1"/>
  <c r="I34" i="22"/>
  <c r="J34" i="22"/>
  <c r="D18" i="22"/>
  <c r="E18" i="22"/>
  <c r="F38" i="22"/>
  <c r="F35" i="22"/>
  <c r="E20" i="22"/>
  <c r="AE33" i="7"/>
  <c r="E29" i="22"/>
  <c r="S33" i="7"/>
  <c r="N11" i="22"/>
  <c r="O16" i="21"/>
  <c r="E36" i="22"/>
  <c r="M11" i="22"/>
  <c r="E37" i="22"/>
  <c r="E34" i="22"/>
  <c r="E35" i="22"/>
  <c r="H44" i="22"/>
  <c r="E44" i="22" s="1"/>
  <c r="F36" i="22" l="1"/>
  <c r="F34" i="22"/>
  <c r="AQ33" i="7"/>
  <c r="J30" i="22"/>
  <c r="K30" i="22"/>
  <c r="Y15" i="21"/>
  <c r="Y16" i="21" s="1"/>
  <c r="Y20" i="21" s="1"/>
  <c r="G45" i="22"/>
  <c r="E10" i="22"/>
  <c r="E12" i="22" s="1"/>
  <c r="E14" i="21" s="1"/>
  <c r="D10" i="22"/>
  <c r="D12" i="22" s="1"/>
  <c r="D14" i="21" s="1"/>
  <c r="I30" i="22"/>
  <c r="E30" i="22"/>
  <c r="O17" i="21" s="1"/>
  <c r="H43" i="22" s="1"/>
  <c r="E39" i="22"/>
  <c r="F10" i="22" l="1"/>
  <c r="F12" i="22" s="1"/>
  <c r="F14" i="21" s="1"/>
  <c r="F30" i="22"/>
  <c r="K45" i="22" s="1"/>
  <c r="D45" i="22" s="1"/>
  <c r="F39" i="22"/>
  <c r="Z15" i="21"/>
  <c r="Z19" i="21" s="1"/>
  <c r="Y19" i="21"/>
  <c r="H46" i="22"/>
  <c r="H45" i="22"/>
  <c r="Z16" i="21" l="1"/>
  <c r="Z20" i="21" s="1"/>
  <c r="P17" i="21"/>
  <c r="L43" i="22" s="1"/>
  <c r="L46" i="22" l="1"/>
  <c r="E46" i="22" s="1"/>
  <c r="E43" i="22"/>
  <c r="L45" i="22"/>
  <c r="E45" i="22" s="1"/>
</calcChain>
</file>

<file path=xl/sharedStrings.xml><?xml version="1.0" encoding="utf-8"?>
<sst xmlns="http://schemas.openxmlformats.org/spreadsheetml/2006/main" count="1067" uniqueCount="440">
  <si>
    <t>Erdgas</t>
  </si>
  <si>
    <t>t</t>
  </si>
  <si>
    <t>MWh</t>
  </si>
  <si>
    <t>€/MWh</t>
  </si>
  <si>
    <t>Nm3</t>
  </si>
  <si>
    <t>EAF</t>
  </si>
  <si>
    <t>€/t</t>
  </si>
  <si>
    <t>a</t>
  </si>
  <si>
    <t>%</t>
  </si>
  <si>
    <t>OPEX</t>
  </si>
  <si>
    <t>Quelle</t>
  </si>
  <si>
    <t>Pellets</t>
  </si>
  <si>
    <t>Sinter</t>
  </si>
  <si>
    <t>CAPEX</t>
  </si>
  <si>
    <t>DRI-EAF_NG</t>
  </si>
  <si>
    <t>DRI-EAF_H2</t>
  </si>
  <si>
    <t>Vogl et al. (2018)</t>
  </si>
  <si>
    <t>Hybrit (2018)</t>
  </si>
  <si>
    <t>Weigel (2014)</t>
  </si>
  <si>
    <t>Kommentar</t>
  </si>
  <si>
    <t xml:space="preserve">  DRI</t>
  </si>
  <si>
    <t xml:space="preserve">  EAF</t>
  </si>
  <si>
    <t>EU-ETS</t>
  </si>
  <si>
    <t>EUA/MWh</t>
  </si>
  <si>
    <t>Parameter</t>
  </si>
  <si>
    <t>Default</t>
  </si>
  <si>
    <t>abweichend</t>
  </si>
  <si>
    <t>€/EUA</t>
  </si>
  <si>
    <t>60-70</t>
  </si>
  <si>
    <t>50-60</t>
  </si>
  <si>
    <t>€2010/t</t>
  </si>
  <si>
    <t>MJ</t>
  </si>
  <si>
    <t>Brunke (2017)</t>
  </si>
  <si>
    <t>Midrex (2017)</t>
  </si>
  <si>
    <t>Schneider et al. (2019)</t>
  </si>
  <si>
    <t>DRI Pellets</t>
  </si>
  <si>
    <t>t/t RSt.</t>
  </si>
  <si>
    <t>MWh/t RSt.</t>
  </si>
  <si>
    <t>2013-2020</t>
  </si>
  <si>
    <t>2026-2030</t>
  </si>
  <si>
    <t>[€/tCO2]</t>
  </si>
  <si>
    <t>OPEX, CAPEX</t>
  </si>
  <si>
    <t>Rechenwert</t>
  </si>
  <si>
    <t>CAPEX, OPEX</t>
  </si>
  <si>
    <t>FutureCamp Climate GmbH</t>
  </si>
  <si>
    <t>Agora Energiewende</t>
  </si>
  <si>
    <t>Aschauer Str. 30</t>
  </si>
  <si>
    <t>Döppersberg 19</t>
  </si>
  <si>
    <t>Anna-Louisa-Karsch-Str. 2</t>
  </si>
  <si>
    <t>42103 Wuppertal</t>
  </si>
  <si>
    <t>10178 Berlin</t>
  </si>
  <si>
    <t>www.future-camp.de</t>
  </si>
  <si>
    <t>Thomas Mühlpointner</t>
  </si>
  <si>
    <t>Alexander Jülich</t>
  </si>
  <si>
    <t>Alexander Scholz</t>
  </si>
  <si>
    <t>Kontakt:</t>
  </si>
  <si>
    <t>81549 München</t>
  </si>
  <si>
    <t>2021-2025</t>
  </si>
  <si>
    <t>Faktor Integration DRI</t>
  </si>
  <si>
    <t>Faktor Integration EAF</t>
  </si>
  <si>
    <t>EUA/tCO2</t>
  </si>
  <si>
    <t>Wuppertal Institut für Klima, Umwelt, Energie GmbH</t>
  </si>
  <si>
    <t>Capex</t>
  </si>
  <si>
    <t>Min</t>
  </si>
  <si>
    <t>Max</t>
  </si>
  <si>
    <t>Kommentar Min/Max</t>
  </si>
  <si>
    <t>vom Erdgaspreis</t>
  </si>
  <si>
    <t>vom Einkaufspreis für Industriekunden</t>
  </si>
  <si>
    <t>https://wupperinst.org</t>
  </si>
  <si>
    <t>https://reposit.haw-hamburg.de/bitstream/20.500.12738/8922/1/Domnick_geschwaerzt.pdf</t>
  </si>
  <si>
    <t>https://www.sciencedirect.com/science/article/abs/pii/S095965261400540X</t>
  </si>
  <si>
    <t>https://link.springer.com/chapter/10.1007%2F978-3-662-58006-6_15</t>
  </si>
  <si>
    <t>https://germany.arcelormittal.com/icc/arcelor/med/b8e/b8e0c15a-102c-d51d-b2a9-147d7b2f25d3,11111111-1111-1111-1111-111111111111.pdf</t>
  </si>
  <si>
    <t>https://publications.jrc.ec.europa.eu/repository/handle/JRC73044</t>
  </si>
  <si>
    <t>https://www.bmwi.de/Redaktion/DE/Publikationen/Studien/entwicklung-der-energiemaerkte-energiereferenzprognose-endbericht.pdf?__blob=publicationFile&amp;v=7</t>
  </si>
  <si>
    <t>https://static.agora-energiewende.de/fileadmin2/Projekte/2020/2020_10_KNDE/A-EW_195_KNDE_WEB_V111.pdf</t>
  </si>
  <si>
    <t>https://onlinelibrary.wiley.com/doi/epdf/10.1002/srin.202000110</t>
  </si>
  <si>
    <t>https://link.springer.com/article/10.1007/s00501-020-00968-1</t>
  </si>
  <si>
    <t>https://www.bmwi.de/Redaktion/DE/Downloads/E/energiewende-in-der-industrie-ap2a-branchensteckbrief-stahl.pdf?__blob=publicationFile&amp;v=4</t>
  </si>
  <si>
    <t>https://epub.wupperinst.org/frontdoor/deliver/index/docId/7676/file/7676_Klimaneutrale_Industrie.pdf</t>
  </si>
  <si>
    <t>https://cdn.sei.org/wp-content/uploads/2018/09/hydrogen-steelmaking-for-a-low-carbon-economy.pdf</t>
  </si>
  <si>
    <t>https://www.umweltbundesamt.de/sites/default/files/medien/1410/publikationen/2019-01-21_texte_07-2019_abwaermenutzungspotenziale-huettenwerke.pdf</t>
  </si>
  <si>
    <t>https://reader.elsevier.com/reader/sd/pii/S0959652618326301?token=141CBDF6F88338E77A3D37AB4B08B4BBBBDD032E4E72E31BB7DB4EB5F3C4AC2DA5F87F2DC7E28FABE2C99C649C1A4806</t>
  </si>
  <si>
    <t>http://elpub.bib.uni-wuppertal.de/edocs/dokumente/fbd/sicherheitstechnik/diss2014/weigel/dd1408.pdf</t>
  </si>
  <si>
    <t>https://escholarship.org/content/qt77n9d4sp/qt77n9d4sp.pdf</t>
  </si>
  <si>
    <t>Deeds (2017)</t>
  </si>
  <si>
    <t>Deloitte (2013)</t>
  </si>
  <si>
    <t>Domnick (2018)</t>
  </si>
  <si>
    <t>Fischedick et al. (2014)</t>
  </si>
  <si>
    <t>Harp (2019)</t>
  </si>
  <si>
    <t>Hybrit (2017)</t>
  </si>
  <si>
    <t>Poveromo (2020)</t>
  </si>
  <si>
    <t>Åhman et al. (2018)</t>
  </si>
  <si>
    <t>VDKI (2020)</t>
  </si>
  <si>
    <t>WV-Stahl (2018)</t>
  </si>
  <si>
    <t>€</t>
  </si>
  <si>
    <t>Maximum</t>
  </si>
  <si>
    <t>Schlemme et al. (2019)</t>
  </si>
  <si>
    <t xml:space="preserve">Domnick, C. (2018). Vergleichende Untersuchung und Bewertung verschiedener wasserstoffbasierter Direktreduktionsverfahren zur Senkung der Treibhausgasemissionen in der Stahlproduktion. Bachelor-Arbeit im Studiengang Verfahrenstechnik. Hochschule für Angewandte Wissenschaften Hamburg. </t>
  </si>
  <si>
    <t xml:space="preserve">Fischedick, M., Marzinkowski, J., Winzer, P., Weigel, M. (2014). Techno-economic evaluation of innovative steel production technologies. Journal of Cleaner Production, Vol. 84, pp. 563-580. </t>
  </si>
  <si>
    <t>Harp, G. (2019). Technologien zur Produktion von Wasserstoff für die Herstellung synthetischer Kraftstoffe. In: Maus W. (eds) Zukünftige Kraftstoffe. ATZ/MTZ-Fachbuch. Springer Vieweg, Berlin, Heidelberg.</t>
  </si>
  <si>
    <t>Hölling et al. (2017)</t>
  </si>
  <si>
    <t>Hölling, M., Wenig, M., Gellert, S. (2017). Bewertung der Herstellung von Eisenschwamm unter Verwendung von Wasserstoff. Stahl und Eisen Vol. 137, Nr. 6, pp. 47-53.</t>
  </si>
  <si>
    <t>Prognos et al. (2020)</t>
  </si>
  <si>
    <t>Prognos, Öko-Institut, Wuppertal-Institut (2020). Klimaneutrales Deutschland. Studie im Auftrag von Agora Energiewende, Agora Verkehrswende und Stiftung Klimaneutralität</t>
  </si>
  <si>
    <t>Rechberger et al. (2020)</t>
  </si>
  <si>
    <t xml:space="preserve">Rechberger, K., Spanlang, A., Sasiain Conde, A., Wolfmeir, H., Harris, C. (2020). Green Hydrogen-Based Direct Reduction for Low-Carbon Steelmaking. Steel Research International, 91, 2000110. </t>
  </si>
  <si>
    <t>Schlemme, J., Schimmel, M., Achtelik, C. (2019). Energiewende in der Industrie. Potenziale und Wechselwirkungen mit dem Energiesektor. Branchensteckbrief der Eisen- und Stahlindustrie.</t>
  </si>
  <si>
    <t>Sasiain, A., Rechberger, K., Spanlang, A., Kofler, I., Wolfmeir, H., Harris, C., Bürgler, T. (2020). Green Hydrogen as Decarbonization Element for the Steel Industry. BHM Berg- und Hüttenmännische Monatshefte, Vol. 2, pp. 232-236.</t>
  </si>
  <si>
    <t>Sasiain et al. (2020)</t>
  </si>
  <si>
    <t xml:space="preserve">Åhman, M., Olsson, O., Vogl, V., Nyqvist, B., Maltais, A., Nilsson, L. J., Hallding, K., Skanberg, K., Nilsson, M. (2018). Hydrogen steelmaking for a low-carbon economy: A joint LU-SEI working paper for the HYBRIT project. EESS report no 109. SEI working paper WP 2018-07. </t>
  </si>
  <si>
    <t>Vogl, V., Åhman, M., Nilsson, L. J. (2018). Assessment of hydrogen direct reduction for fossil-free steelmaking. Journal of Cleaner Production, Vol. 203, pp. 736-745.</t>
  </si>
  <si>
    <t xml:space="preserve">Worrell, E., Price, L., Neelis, M., Galitsky, C., Nan, Z. (2007). World Best Practise Energy Intensity Values for selcted Industrial Sectors. Lawrence Berkeley National Laboratory. </t>
  </si>
  <si>
    <t>Sprecher, M., Lüngen, H. B., Stranzinger, B., Rosemann, H., Adler, W. (2019). Abwärmenutzungspotentiale in Anlagen integrierter Hüttenwerke der Stahlindustrie. Umweltbundesamt.</t>
  </si>
  <si>
    <t>Schlesinger, M., Hofer, P., Kemmler, A., Kirchner, A., Koziel, S., Ley, A., Piegsa, A., Seefeldt, F., Straßburg, s., Weiner, K., Knaut, A., Malischek, R., Nick, S., Panke, T., Paulus, S., Tode, C., Wagner, J., Lutz, C., Lehr, U., Ulrich, P. (2014). Entwicklung der Energiemärkte  – Energiereferenzprognose. Projekt Nr. 57/12 des Bundesministeriums  für Wirtschaft und Technologie, Berlin</t>
  </si>
  <si>
    <t>Schlesinger et al. (2014)</t>
  </si>
  <si>
    <t>Wörtler et al. (2013)</t>
  </si>
  <si>
    <t>Wörtler, M., Schuler, F., Voigt, N., Schmidt, T., Dahlmann, P., Lüngen, H. B., Ghenda, J-T. (2013). Steel’s Contribution to a Low-Carbon Europe 2050: Technical and Economic Analysis of the Sector’s CO2 Abatement Potential. BCG und VDEh.</t>
  </si>
  <si>
    <t>Schneider, C., Samadi, S., Holtz, G., Kobiela, G., Lechtenböhmer, S., Witecka, W. (2019). Klimaneutrale Industrie: Ausführliche Darstellung der Schlüsseltechnologien für die Branchen Stahl, Chemie und Zement. Analyse im Auftrag von Agora Energiewende. Berlin, November 2019.</t>
  </si>
  <si>
    <t>WV Stahl (2018). Perspektiven der Stahlproduktion in einer treibhausgas-neutralen Wirtschaft.</t>
  </si>
  <si>
    <t>Poveromo, J. J. (2020). Outlook for DR Grade Pellet Supply for DRI Shaft Furnace Processes. Steel Times International Webinar on Direct Reduction, October 21, 2020.</t>
  </si>
  <si>
    <t>Hybrit (2018). SSAB, LKAB and Vattenfall to build a globally-unique pilot plant for fossil-free steel. Press Release, 2018-02-01.</t>
  </si>
  <si>
    <t xml:space="preserve">VDKI (2016). Pressegespräch am 4.08.2016 in Düsseldorf. </t>
  </si>
  <si>
    <t>VDKI (2016)</t>
  </si>
  <si>
    <t>https://deeds.eu/wp-content/uploads/2020/05/Iron-and-Steel_web.pdf</t>
  </si>
  <si>
    <t xml:space="preserve">Deeds (2017). Industry - Iron and steel. </t>
  </si>
  <si>
    <t xml:space="preserve">VDKI (2020). Jahresbericht 2020. Fakten und Trends 2019/20. </t>
  </si>
  <si>
    <t>https://www.kohlenimporteure.de/files/user_upload/jahresberichte/VdKi_Jahresbericht_2020.pdf</t>
  </si>
  <si>
    <t xml:space="preserve">Deloitte (2013). Remaking the globdal steel industry. Lower-cost natural gas and its impacts. </t>
  </si>
  <si>
    <t>WSA (2018)</t>
  </si>
  <si>
    <t xml:space="preserve">WSA (2018). Steel Facts. A collection of amazing facts about steel. </t>
  </si>
  <si>
    <t>https://www.worldsteel.org/en/dam/jcr:ab8be93e-1d2f-4215-9143-4eba6808bf03/20190207_steelFacts.pdf</t>
  </si>
  <si>
    <t xml:space="preserve">Brunke, J. C. U. (2017). Energieeinsparpotenziale von energieintensivenProduktionsprozessen in Deutschland:Eine Analyse mit Hilfe von Energieeinspar-kostenkurven. </t>
  </si>
  <si>
    <t>https://elib.uni-stuttgart.de/bitstream/11682/9259/5/BRUNKE_ENERGIEEINSPARKOSTENKURVEN_209.pdf</t>
  </si>
  <si>
    <t>Worrel et al. (2007)</t>
  </si>
  <si>
    <t>Sprecher et al. (2019)</t>
  </si>
  <si>
    <t>Fischedick et al. (2014) / Pardo und Moya (2013)</t>
  </si>
  <si>
    <t xml:space="preserve">Moya Rivera, J., Pardo Garcia, N. (2013). The potential for improvements in energy efficiency and CO2 emissions in the EU27 iron and steel industry under different payback periods. Journal of Cleaner Production, Vol. 52, pp. 71-83. </t>
  </si>
  <si>
    <t>Hybrit (2017). Summary of findings from HYBRIT Pre-Feasibility Study 2016–2017.</t>
  </si>
  <si>
    <t>Midrex (2017). Direct from Midrex. 3rd Quarter 2017.</t>
  </si>
  <si>
    <t>Pardo und Moya (2013)</t>
  </si>
  <si>
    <t>https://eur-lex.europa.eu/legal-content/EN/TXT/?uri=CELEX%3A02019R0331-20190227</t>
  </si>
  <si>
    <t>https://op.europa.eu/en/publication-detail/-/publication/25d79153-02b6-4370-974c-2a45baf79167/language-de</t>
  </si>
  <si>
    <t>Hölling (2017); Vogl et al. (2018)</t>
  </si>
  <si>
    <t>Hölling et al. (2017) / Vogl et al. (2018)</t>
  </si>
  <si>
    <t>UBA (2012)</t>
  </si>
  <si>
    <t>https://www.umweltbundesamt.de/sites/default/files/medien/367/dokumente/bvt-merkblatt_eisen-_und_stahlerzeugung_endfassung.pdf</t>
  </si>
  <si>
    <t>UBA (2012). Merkblatt über die Besten Verfügbare Techniken in der Eisen- und Stahlerzeugung nach der Industrie-Emissionen-Richtlinie 2010/75/EU März 2012.</t>
  </si>
  <si>
    <t xml:space="preserve">Weigel, M. (2014). Ganzheitliche Bewertung zukünftig verfügbarer primärer Stahlherstellungsverfahren. Einschätzung der möglichen Rolle von Wasserstoff als Reduktionsmittel. Dissertation zur Erlangung des Doktorgrades der Ingenieurwissenschaften (Dr.-Ing.) imFachbereich D – Architektur, Bauingenieurwesen, Maschinenbau, Sicherheitstechnik der Bergischen Universität Wuppertal. </t>
  </si>
  <si>
    <t>Philipp D. Hauser</t>
  </si>
  <si>
    <t>Review:</t>
  </si>
  <si>
    <t xml:space="preserve">Helen Burmeister </t>
  </si>
  <si>
    <t>info@agora-industry.com</t>
  </si>
  <si>
    <t>Beschluss 2011/278/EU</t>
  </si>
  <si>
    <t>EU-Zuteilungsverordnung (EU-ZuVO) (EU) 2019/331</t>
  </si>
  <si>
    <t>2011/278/EU: Beschluss der Kommission vom 27. April 2011 zur Festlegung EU-weiter Übergangsvorschriften zur Harmonisierung der kostenlosen Zuteilung von Emissionszertifikaten gemäß Artikel 10a der Richtlinie 2003/87/EG des Europäischen Parlaments und des Rate</t>
  </si>
  <si>
    <t>Delegierte Verordnung (EU) 2019/331 der Kommission vom 19. Dezember 2018 zur Festlegung EU-weiter Übergangsvorschriften zur Harmonisierung der kostenlosen Zuteilung von Emissionszertifikaten gemäß Artikel 10a der Richtlinie 2003/87/EG des Europäischen Parlaments und des Rates.</t>
  </si>
  <si>
    <t>Beschluss 2011/278/EU und EU-Zuteilungsverordnung (EU-ZuVO) (EU) 2019/331</t>
  </si>
  <si>
    <t>https://www.stahl-online.de//wp-content/uploads/Schlussbericht-Studie-Low-carbon-Europe-2050_-Mai-20131.pdf</t>
  </si>
  <si>
    <t>https://www.agora-energiewende.de/</t>
  </si>
  <si>
    <t>€/kg</t>
  </si>
  <si>
    <t>€/MWh_HHV</t>
  </si>
  <si>
    <t>Annahmen Agora Industrie (2022)</t>
  </si>
  <si>
    <t>Annahme Agora Industrie basierend auf S&amp;P (2022)</t>
  </si>
  <si>
    <t>S&amp;P (2022)</t>
  </si>
  <si>
    <t>https://www.spglobal.com/commodityinsights/en/market-insights/blogs/metals/031122-iron-ore-prices-iodex-trade-overview-2021</t>
  </si>
  <si>
    <t xml:space="preserve">S&amp;P (2022). Key trends in iron ore market amid volatile trading environment in 2021. </t>
  </si>
  <si>
    <t>Australian Government (2021)</t>
  </si>
  <si>
    <t xml:space="preserve">Australian Government (2021). Metallurgical coal. </t>
  </si>
  <si>
    <t>https://publications.industry.gov.au/publications/resourcesandenergyquarterlydecember2021/documents/Resources-and-Energy-Quarterly-December-2021-Met-Coal.pdf</t>
  </si>
  <si>
    <t>BDEW (2022)</t>
  </si>
  <si>
    <t>BDEW (2022). BDEW-Gaspreisanalyse April 2022</t>
  </si>
  <si>
    <t>https://www.bdew.de/media/documents/220504_BDEW-Gaspreisanalyse_April_2022_04.05.2022.pdf</t>
  </si>
  <si>
    <t>Agora Energiewende, Prognos, Consentec (2022) / BDEW (2022)</t>
  </si>
  <si>
    <t>Agora Energiewende, Prognos, Consentec
(2022)</t>
  </si>
  <si>
    <t>Agora Energiewende, Prognos, Consentec (2022): Klimaneutrales Stromsystem 2035. Wie der deutsche Stromsektor bis zum Jahr 2035
klimaneutral werden kann.</t>
  </si>
  <si>
    <t>https://static.agora-energiewende.de/fileadmin/Projekte/2021/2021_11_DE_KNStrom2035/A-EW_264_KNStrom2035_WEB.pdf</t>
  </si>
  <si>
    <t>Paul Münnich
Nina Zetsche</t>
  </si>
  <si>
    <t xml:space="preserve">Annahme Agora Industrie basierend auf Australian Government (2021) </t>
  </si>
  <si>
    <t>Imprint</t>
  </si>
  <si>
    <t>Transformation cost calculator (TCC) - steel</t>
  </si>
  <si>
    <t>Developed by:</t>
  </si>
  <si>
    <t>Authors:</t>
  </si>
  <si>
    <t>Last updated</t>
  </si>
  <si>
    <t>Model version:</t>
  </si>
  <si>
    <t>and</t>
  </si>
  <si>
    <t>1.1</t>
  </si>
  <si>
    <t>on behalf of:</t>
  </si>
  <si>
    <t>Project lead:</t>
  </si>
  <si>
    <t>Design:</t>
  </si>
  <si>
    <t xml:space="preserve">Use of methods, standard data and results only permitted with reference to the authors and </t>
  </si>
  <si>
    <t xml:space="preserve">© Agora Industrie, FutureCamp und Wuppertal Institut. All rights reserved. </t>
  </si>
  <si>
    <t>Suggested citation:</t>
  </si>
  <si>
    <t xml:space="preserve">Agora Industry, Future Camp, Wuppertal Institut (2022): </t>
  </si>
  <si>
    <t xml:space="preserve">Carbon Contracts for the transformation of industry: Calculator for the  </t>
  </si>
  <si>
    <t>assessment of transformation costs for low-CO2 primary steel production</t>
  </si>
  <si>
    <t>Agora Energiewende.</t>
  </si>
  <si>
    <t>Which assumptions were made?</t>
  </si>
  <si>
    <t>Background and objectives of this transformation cost calculator (TCC):</t>
  </si>
  <si>
    <t>Description</t>
  </si>
  <si>
    <t>This calculator was subject to a stakeholder consultation and review. However, we welcome further comments on the presentation, handling and coherence of the tool.
Please send your contributions to info@agora-industry.com
Thank you very much for your support!</t>
  </si>
  <si>
    <t xml:space="preserve">For an initial assessment and visualisation of the transformation costs, default values are used for investment and production costs of the reference plant and the low-carbon technology. The reference scenario is the relining of a blast furnace plant with an operational lifetime of 20 years. The low-carbon investment is defined as a new DRI plant with equivalent production capacity and service life.  All values for costs, raw material input and operational parameters were taken from current scientific literature and confirmed and supplemented by discussions with experts. Since the production of Direct Reduced Iron, at least in the EU context and with the use of hydrogen, is still a new technology and its costs may be very project- and site-specific, the available data scatters relatively widely. For the selection of the default values, either mean values were formed or a selection was made according to various criteria such as the timeliness of the study, overall coherence and the validation by experts
In order to also reflect individual estimates and site-specific factors (such as revenues from co-products), the default values can be replaced and/or supplemented by manual entries in the fields highlighted in light blue in the "Calculator" and "Results" spreadsheets. </t>
  </si>
  <si>
    <t xml:space="preserve">The transformation of the steel industry requires the replacement of the CO2-intensive, coal-based blast furnace route for primary steel production with technologies that are compatible with the path to climate neutrality. Investments for the production of Direct Reduced Iron (DRI) as a low-carbon and potentially climate-neutral technology allow to transition towards climate neutrality and avoid further investment in the incumbent blast furnace route, which defines the reference price of primary steel. By operating DRI-plants with natural gas, greenhouse gas emissions can be reduced by almost 70 percent. A conversion to renewable hydrogen can then reduce emissions by over 95 percent compared to the blast furnace route. However, the production costs of a DRI plant are still significantly higher compared to the blast furnace route as a reference technology. In order to stimulate the necessary investments, the incremental costs must be quantified and supported with suitable policy instruments. 
In order to estimate the micro and macroeconomic costs of the transformation to climate-neutral steel production, this cost calculator was developed as part of the project „Carbon Contracts for industry transformation“. In the context of this work, carbon contracts are discussed to support the development and operation of low carbon production technologies. In addition, the transformation of the steel sector  was analysed in a dedicated input paper and discussed in stakeholder workshops. This transformation cost calculator (TCC) was created to provide an economic and technological basis for these discussions and the results were documented in a background study on the transformation of the german steel sector. 
The goal of the TCC is to make an initial, qualified estimate of the incremental costs of low carbon production in terms of CO2 reduction cost compared to the conventional reference plant. The overarching goals are: 
■ The identification and quantification of main cost drivers for the transformation of a typical blast-furnace based primary steel production to the low-carbon DRI production route.
■ The definition of a tool to allow an initial assessment and discussion of specific projects, possibly as a first step towards awarding a carbon contract. 
■ Creating a transparent basis for discussing the costs and benefits of transforming a steel production facility and the necessary infrastructure. 
■ Creating a basis for estimating the total investment and financing requirements for the transformation of the German steel sector to climate neutrality.
This tool is intended to support a general discussion and assessment of general transformation costs. It can be used for the estimation of specific projects under the own responsibility of stakeholders, but it cannot replace a specific investment analysis.
</t>
  </si>
  <si>
    <t>Comments or recommendations</t>
  </si>
  <si>
    <t>Sources (abbreviation)</t>
  </si>
  <si>
    <t>Sources</t>
  </si>
  <si>
    <t>Sources (full citation)</t>
  </si>
  <si>
    <t>Weblinks (as of 03.09.2022)</t>
  </si>
  <si>
    <t>Coking coal</t>
  </si>
  <si>
    <t>Pulverised coal injection (PCI) coal</t>
  </si>
  <si>
    <t>Natural gas</t>
  </si>
  <si>
    <t>Electricity</t>
  </si>
  <si>
    <t>Hydrogen</t>
  </si>
  <si>
    <t>Biomethane</t>
  </si>
  <si>
    <t>Iron ore</t>
  </si>
  <si>
    <t>DRI pellets</t>
  </si>
  <si>
    <t>Lime</t>
  </si>
  <si>
    <t>Graphite electrodes</t>
  </si>
  <si>
    <t>Alloying elements</t>
  </si>
  <si>
    <t>Scrap</t>
  </si>
  <si>
    <t>Oxygen</t>
  </si>
  <si>
    <t>Labour costs</t>
  </si>
  <si>
    <t>Maintenance costs</t>
  </si>
  <si>
    <t>Other costs (fixed &amp; overhead)</t>
  </si>
  <si>
    <t>Revenue / sale of by-products</t>
  </si>
  <si>
    <t>Export of cogeneration gases</t>
  </si>
  <si>
    <t>Electricity sale</t>
  </si>
  <si>
    <t>Slag</t>
  </si>
  <si>
    <t>Sum OPEX</t>
  </si>
  <si>
    <t>Cogeneration products coking plant (benzol/tar/sulphur)</t>
  </si>
  <si>
    <t>Depreciation period</t>
  </si>
  <si>
    <t>Interest rate</t>
  </si>
  <si>
    <t>Share of direct investment support</t>
  </si>
  <si>
    <t>Sum CAPEX</t>
  </si>
  <si>
    <r>
      <t>CO</t>
    </r>
    <r>
      <rPr>
        <b/>
        <vertAlign val="subscript"/>
        <sz val="10"/>
        <color theme="1"/>
        <rFont val="Arial"/>
        <family val="2"/>
      </rPr>
      <t>2</t>
    </r>
    <r>
      <rPr>
        <b/>
        <sz val="10"/>
        <color theme="1"/>
        <rFont val="Arial"/>
        <family val="2"/>
      </rPr>
      <t xml:space="preserve"> emissions</t>
    </r>
  </si>
  <si>
    <r>
      <t>CO</t>
    </r>
    <r>
      <rPr>
        <vertAlign val="subscript"/>
        <sz val="10"/>
        <color theme="1"/>
        <rFont val="Arial"/>
        <family val="2"/>
      </rPr>
      <t>2</t>
    </r>
    <r>
      <rPr>
        <sz val="10"/>
        <color theme="1"/>
        <rFont val="Arial"/>
        <family val="2"/>
      </rPr>
      <t xml:space="preserve"> - calculated</t>
    </r>
  </si>
  <si>
    <r>
      <t>CO</t>
    </r>
    <r>
      <rPr>
        <vertAlign val="subscript"/>
        <sz val="10"/>
        <color theme="1"/>
        <rFont val="Arial"/>
        <family val="2"/>
      </rPr>
      <t>2</t>
    </r>
    <r>
      <rPr>
        <sz val="10"/>
        <color theme="1"/>
        <rFont val="Arial"/>
        <family val="2"/>
      </rPr>
      <t xml:space="preserve"> - reference values</t>
    </r>
  </si>
  <si>
    <t>Free allocation</t>
  </si>
  <si>
    <t>Calculator</t>
  </si>
  <si>
    <t>General variables</t>
  </si>
  <si>
    <t>Unit</t>
  </si>
  <si>
    <t>Price</t>
  </si>
  <si>
    <t>Manual input</t>
  </si>
  <si>
    <t>Manuel input explanation</t>
  </si>
  <si>
    <r>
      <rPr>
        <b/>
        <sz val="10"/>
        <color theme="1"/>
        <rFont val="Arial"/>
        <family val="2"/>
      </rPr>
      <t xml:space="preserve">Note: </t>
    </r>
    <r>
      <rPr>
        <sz val="10"/>
        <color theme="1"/>
        <rFont val="Arial"/>
        <family val="2"/>
      </rPr>
      <t xml:space="preserve">In this sheet, the central calculations of the costs for the production of one tonne of crude steel are carried out in the three variants considered. The default values for the prices and specific consumption values can be adjusted manually. The prices for natural gas, biomethane and hydrogen are given for the higher heating value. Please explain manual entries in the explanation field. </t>
    </r>
  </si>
  <si>
    <t>Manual input explanation</t>
  </si>
  <si>
    <t>Specific demand</t>
  </si>
  <si>
    <t>Costs</t>
  </si>
  <si>
    <t>Reference (BF-BOF)</t>
  </si>
  <si>
    <t>t/t CS</t>
  </si>
  <si>
    <t>MWh/t CS.</t>
  </si>
  <si>
    <t>MWh/t CS</t>
  </si>
  <si>
    <t>€/t CS</t>
  </si>
  <si>
    <t>Coking plant</t>
  </si>
  <si>
    <t>Sinter plant</t>
  </si>
  <si>
    <t>Converter</t>
  </si>
  <si>
    <t>Blast furnace</t>
  </si>
  <si>
    <t>Own generation from cogeneration gases</t>
  </si>
  <si>
    <t>*rough estimate based on input materials</t>
  </si>
  <si>
    <t>**Annahme:
Sinter: 1t/t pig iron
Coke: 0,32t/t pig iron</t>
  </si>
  <si>
    <t>€/t Cap.</t>
  </si>
  <si>
    <t>t/t CS**</t>
  </si>
  <si>
    <t>t/t CS*</t>
  </si>
  <si>
    <t xml:space="preserve">€/t CS </t>
  </si>
  <si>
    <t>MWh/t Cs</t>
  </si>
  <si>
    <t>Shaft furnace</t>
  </si>
  <si>
    <t>Integration factor DRI</t>
  </si>
  <si>
    <t>Integration factor EAF</t>
  </si>
  <si>
    <t>Capacity factor</t>
  </si>
  <si>
    <t>**Assumptions:
Allocation via fall-back fuel only for fuel input (assumption 25% of natural gas input);
Allocation via fall-back process emission for reduction gas (assumption 75% of natural gas input);
EAF predominantly electricity-based, therefore no allocation according to EAF-BM</t>
  </si>
  <si>
    <t>MWh/t CS*</t>
  </si>
  <si>
    <t>t/t CS***</t>
  </si>
  <si>
    <t>*Preheating of the process gas with hydrogen (higher heating value through use of condenser)</t>
  </si>
  <si>
    <t>**rough estimate based on input materials</t>
  </si>
  <si>
    <t>***Assumptions: 
Allocation via fall-back process emissions for reduction gas (assumption 100% of proportional natural gas use); EAF predominantly electricity-based, therefore no free allocation according to EAF-BM</t>
  </si>
  <si>
    <t>Price assumptions</t>
  </si>
  <si>
    <t>Hydrogen renewable</t>
  </si>
  <si>
    <t>PCI coal</t>
  </si>
  <si>
    <t>EUA prices</t>
  </si>
  <si>
    <t>Revenue slag sales</t>
  </si>
  <si>
    <t>Prices of energy carriers and materials</t>
  </si>
  <si>
    <r>
      <rPr>
        <b/>
        <sz val="10"/>
        <rFont val="Arial"/>
        <family val="2"/>
      </rPr>
      <t>Note:</t>
    </r>
    <r>
      <rPr>
        <sz val="10"/>
        <rFont val="Arial"/>
        <family val="2"/>
      </rPr>
      <t xml:space="preserve"> This sheet lists the central sources and default values for price assumptions, economic parameters and the estimation of free EUA allocations. In addition, the range of variation is given for particularly relevant cost drivers to support sensitivity calculations.</t>
    </r>
  </si>
  <si>
    <t>Revenue cogeneration gas exports</t>
  </si>
  <si>
    <t>Revenue electricity sales</t>
  </si>
  <si>
    <t>Economic parameters</t>
  </si>
  <si>
    <t>Depreciation periods</t>
  </si>
  <si>
    <t>Depreciation period shaft furnace</t>
  </si>
  <si>
    <t>Depreciation period EAF</t>
  </si>
  <si>
    <t>Depreciation period general</t>
  </si>
  <si>
    <t>Years</t>
  </si>
  <si>
    <t>Reference year</t>
  </si>
  <si>
    <t>Pig iron</t>
  </si>
  <si>
    <t>Coke</t>
  </si>
  <si>
    <t>EAF high alloy steel</t>
  </si>
  <si>
    <t>EAF steel</t>
  </si>
  <si>
    <t>Fuel</t>
  </si>
  <si>
    <t>Process emissions</t>
  </si>
  <si>
    <t>EUA/t Steel</t>
  </si>
  <si>
    <t>EUA/t Coke</t>
  </si>
  <si>
    <t>EUA/t Sinter</t>
  </si>
  <si>
    <t>EUA/t Pig iron</t>
  </si>
  <si>
    <t>Default value calculator</t>
  </si>
  <si>
    <t>Rate update</t>
  </si>
  <si>
    <t>Comment</t>
  </si>
  <si>
    <t>Mean value Vogl/Wörtler</t>
  </si>
  <si>
    <t>Rate update according to draft EU-Commission vom 07.12.2020</t>
  </si>
  <si>
    <t>additional info, so far not considered but manual input in the calculator possible</t>
  </si>
  <si>
    <t xml:space="preserve">Default assumption 100 €/EUA </t>
  </si>
  <si>
    <t>Mean value 2020 Vogl/Fischedick</t>
  </si>
  <si>
    <t>Calculated based on iron ore price plus assumption: 40€/t DRI grade premium</t>
  </si>
  <si>
    <t>Average 2020 as default</t>
  </si>
  <si>
    <t>Value 2030 as default; Reference unit higher heating value (HHV)</t>
  </si>
  <si>
    <t>Mean value 2030-2050 as default</t>
  </si>
  <si>
    <t>Prime Hard Coking Australia 2019/2020; 10% premium on FOB (assumption)</t>
  </si>
  <si>
    <t>Assumption for steam coal based on source and stakeholder opinions; 10% premium on FOB (assumption)</t>
  </si>
  <si>
    <t>Value 2030 as default; Bezugsgröße Hs (oberer Heizwert)</t>
  </si>
  <si>
    <t>Reference unit higher heating value converted to lower heating value (with factor 0.903 - natural gas)</t>
  </si>
  <si>
    <t>Range for sensitivity considerations</t>
  </si>
  <si>
    <t>Range of price expectations 2020 vs. 2050</t>
  </si>
  <si>
    <t>Historical range 2019-2020 according to S&amp;P Global Platts (2022)</t>
  </si>
  <si>
    <t>Historical range 2016-2020 according to VDKI Jahresbericht Kohleimporteure</t>
  </si>
  <si>
    <t>Historical range 2018-2022 according to Australian Government (2021)</t>
  </si>
  <si>
    <t>Range of price expectations until 2030</t>
  </si>
  <si>
    <t>Historical range 2018-2022 according to BDEW Gaspreisanalyse (2022)</t>
  </si>
  <si>
    <t>Plant-specific data</t>
  </si>
  <si>
    <t>Reference plant (BF-BOF)</t>
  </si>
  <si>
    <t>Production (crude steel)</t>
  </si>
  <si>
    <t>Unit specific [/tcrude steel]</t>
  </si>
  <si>
    <t>Value</t>
  </si>
  <si>
    <t>Moeller mix</t>
  </si>
  <si>
    <r>
      <rPr>
        <b/>
        <sz val="10"/>
        <rFont val="Arial"/>
        <family val="2"/>
      </rPr>
      <t>Note:</t>
    </r>
    <r>
      <rPr>
        <sz val="10"/>
        <rFont val="Arial"/>
        <family val="2"/>
      </rPr>
      <t xml:space="preserve"> This sheet lists the central sources for deriving the default values for the specific input quantities for the technologies under consideration. The reference is the production of one tonne of crude steel or, in the case of capital costs, the capacity to produce one tonne of crude steel.</t>
    </r>
  </si>
  <si>
    <t>Lump ore</t>
  </si>
  <si>
    <t>Coal</t>
  </si>
  <si>
    <t>Lime &amp; aggregates</t>
  </si>
  <si>
    <r>
      <t>Input materials and CO</t>
    </r>
    <r>
      <rPr>
        <b/>
        <vertAlign val="subscript"/>
        <sz val="10"/>
        <color theme="1"/>
        <rFont val="Arial"/>
        <family val="2"/>
      </rPr>
      <t>2</t>
    </r>
    <r>
      <rPr>
        <b/>
        <sz val="10"/>
        <color theme="1"/>
        <rFont val="Arial"/>
        <family val="2"/>
      </rPr>
      <t xml:space="preserve"> emissions</t>
    </r>
  </si>
  <si>
    <t>Proportionally used in GER 2010</t>
  </si>
  <si>
    <t>94 kg CO2/t product</t>
  </si>
  <si>
    <t>41 kg CO2/t product</t>
  </si>
  <si>
    <t>Original value of 552 converted to HHV</t>
  </si>
  <si>
    <t>Capex (complete, Brownfield)</t>
  </si>
  <si>
    <t>Capex (differentiated)</t>
  </si>
  <si>
    <t>Blast oxygen furnace</t>
  </si>
  <si>
    <t>Opex (complete)</t>
  </si>
  <si>
    <t>Brownfield retrofit (repairs, renewal of refractory material, cladding) and modernisation of plants
without: Decommissioning costs for existing plants 50-500€ /t installed capacity, depending on age and structure.
Assumption Wörtler et al.: investment cycle 15 a, WACC 10%, prices of natural gas and electricity based on current US levels</t>
  </si>
  <si>
    <t>of CAPEX</t>
  </si>
  <si>
    <t xml:space="preserve">Literature value as reference value. Assumption Wörtler et al.: investment cycle 15 a, WACC 10%, prices of natural gas and electricity based on current US levels. </t>
  </si>
  <si>
    <t>corresponds to 9 % of OPEX</t>
  </si>
  <si>
    <t>Source</t>
  </si>
  <si>
    <t>Unit specific [/t crude steel]</t>
  </si>
  <si>
    <t>Iron ore pellets</t>
  </si>
  <si>
    <t>Lime and aggregates</t>
  </si>
  <si>
    <t>Converted from 9,7 GJ/t</t>
  </si>
  <si>
    <t>Converted from 10 MMBTU</t>
  </si>
  <si>
    <t>Emissions natural gas</t>
  </si>
  <si>
    <t>100% CDRI in EAF</t>
  </si>
  <si>
    <t>case-specific; taken from DRI_H2 route</t>
  </si>
  <si>
    <t xml:space="preserve">In the source only given for H2, but here also used for NG </t>
  </si>
  <si>
    <t xml:space="preserve">case-specific </t>
  </si>
  <si>
    <t>Infrastructure</t>
  </si>
  <si>
    <t>Infrastructure (blower, pump, conveyor belt)</t>
  </si>
  <si>
    <t xml:space="preserve">EAF- 100% CDRI (for CDRI) </t>
  </si>
  <si>
    <t xml:space="preserve">Heating of CDRI when supplied cold to EAF </t>
  </si>
  <si>
    <t>Electrode burn-off, lime and addition of carbon EAF</t>
  </si>
  <si>
    <t>Unit specific [/tcapacity]</t>
  </si>
  <si>
    <t>Capex (complete but without reformer, Brownfield)</t>
  </si>
  <si>
    <t>Integration costs shaft furnace</t>
  </si>
  <si>
    <t>Integration costs EAF</t>
  </si>
  <si>
    <t>Factor (with regards to investment costs)</t>
  </si>
  <si>
    <t xml:space="preserve">Assumption Wörtler et al.: investment cycle 15 a, WACC 10%, prices of natural gas and electricity based on current US levels. </t>
  </si>
  <si>
    <t>Assumption of additional integration costs almost equal to investment costs</t>
  </si>
  <si>
    <t>Assumption of average utilisation of the plant</t>
  </si>
  <si>
    <t>Biomass</t>
  </si>
  <si>
    <r>
      <t>CO</t>
    </r>
    <r>
      <rPr>
        <b/>
        <vertAlign val="subscript"/>
        <sz val="10"/>
        <color theme="1"/>
        <rFont val="Arial"/>
        <family val="2"/>
      </rPr>
      <t>2</t>
    </r>
    <r>
      <rPr>
        <b/>
        <sz val="10"/>
        <color theme="1"/>
        <rFont val="Arial"/>
        <family val="2"/>
      </rPr>
      <t xml:space="preserve"> emissions DRI (direct)</t>
    </r>
  </si>
  <si>
    <t>alternatively with use of biomethane</t>
  </si>
  <si>
    <t>differentiated</t>
  </si>
  <si>
    <t>Mean value</t>
  </si>
  <si>
    <t>Sum EAF</t>
  </si>
  <si>
    <t>Complete without heating CDRI</t>
  </si>
  <si>
    <t>Complete with heating CDRI</t>
  </si>
  <si>
    <t>Mean value shaft furnace</t>
  </si>
  <si>
    <t>Sum</t>
  </si>
  <si>
    <t>Mean value reduction</t>
  </si>
  <si>
    <t>with preheating</t>
  </si>
  <si>
    <t>case-specific</t>
  </si>
  <si>
    <t>with 100% CDRI</t>
  </si>
  <si>
    <t>Reduction</t>
  </si>
  <si>
    <t>Assumption: reduction. Converted from 1,4 MWh</t>
  </si>
  <si>
    <t>Reduction. Mean value from given range (482-525 Nm3)</t>
  </si>
  <si>
    <t>Preheating gas</t>
  </si>
  <si>
    <t xml:space="preserve">for gas temperature control and C-content </t>
  </si>
  <si>
    <t>Biomethane instead of natural gas</t>
  </si>
  <si>
    <t xml:space="preserve">EAF- 100% CDRI added (for cold CDRI) </t>
  </si>
  <si>
    <t xml:space="preserve">Heating CDRI if added cold to EAF </t>
  </si>
  <si>
    <t>with natural gas use</t>
  </si>
  <si>
    <t xml:space="preserve">Complete (with 17% scrap share and EE-H2 + biomethane) </t>
  </si>
  <si>
    <t>Assumption of average capacity factor of plant</t>
  </si>
  <si>
    <t>Results</t>
  </si>
  <si>
    <r>
      <rPr>
        <b/>
        <sz val="10"/>
        <color theme="1"/>
        <rFont val="Arial"/>
        <family val="2"/>
        <scheme val="minor"/>
      </rPr>
      <t>Note:</t>
    </r>
    <r>
      <rPr>
        <sz val="10"/>
        <color theme="1"/>
        <rFont val="Arial"/>
        <family val="2"/>
        <scheme val="minor"/>
      </rPr>
      <t xml:space="preserve"> In this sheet the central results are visualised in different diagrams. In the fields with a blue background, relevant parameters for the selection of comparative scenarios can be defined.</t>
    </r>
  </si>
  <si>
    <t>Selection graph</t>
  </si>
  <si>
    <t>Assumption EUA price</t>
  </si>
  <si>
    <t>Reference</t>
  </si>
  <si>
    <t>[€/t crude steel]</t>
  </si>
  <si>
    <t>Consideration of free allocation</t>
  </si>
  <si>
    <t>Comparison of production costs</t>
  </si>
  <si>
    <r>
      <t xml:space="preserve">Note: </t>
    </r>
    <r>
      <rPr>
        <sz val="10"/>
        <color theme="1"/>
        <rFont val="Arial"/>
        <family val="2"/>
      </rPr>
      <t>Visualisation of the relevant costs for the production of one t of cement clinker. In case free allocations are not taken into account, the graph shows the hypothetical scenario of an effective CO2 price at the chosen level. Production can be modelled with or without annualized investment costs (CAPEX).</t>
    </r>
  </si>
  <si>
    <t>CO2 reduction costs</t>
  </si>
  <si>
    <t>CO2 reduction</t>
  </si>
  <si>
    <t>[tCO2/tcrude steel]</t>
  </si>
  <si>
    <r>
      <rPr>
        <b/>
        <sz val="10"/>
        <color theme="1"/>
        <rFont val="Arial"/>
        <family val="2"/>
      </rPr>
      <t xml:space="preserve">Note: </t>
    </r>
    <r>
      <rPr>
        <sz val="10"/>
        <color theme="1"/>
        <rFont val="Arial"/>
        <family val="2"/>
      </rPr>
      <t>Presentation of the relevant cost blocks related to the CO2 reduction compared to the reference plant. Via the selection, the DRI_EAF routes can be compared with the blast furnace benchmark or the emissions of an existing plant. In addition, the H2-based DRI can be compared with the natural gas-based DRI route.</t>
    </r>
  </si>
  <si>
    <t>CO2 reference process</t>
  </si>
  <si>
    <t>Detailed examination of OPEX</t>
  </si>
  <si>
    <r>
      <t xml:space="preserve">Note: </t>
    </r>
    <r>
      <rPr>
        <sz val="10"/>
        <color theme="1"/>
        <rFont val="Arial"/>
        <family val="2"/>
      </rPr>
      <t>Comparative presentation of the relevant operating cost blocks (OPEX) related to the production of one tonne of crude steel. The effects of the CO2 price arte not taken into account in this visualisation.</t>
    </r>
  </si>
  <si>
    <r>
      <rPr>
        <b/>
        <sz val="10"/>
        <color theme="1"/>
        <rFont val="Arial"/>
        <family val="2"/>
      </rPr>
      <t xml:space="preserve">Note: </t>
    </r>
    <r>
      <rPr>
        <sz val="10"/>
        <color theme="1"/>
        <rFont val="Arial"/>
        <family val="2"/>
      </rPr>
      <t xml:space="preserve">Visualisation of the operational CO2 reduction costs as a function of selected variables. The variables to be considered can be selected and combined to estimate their influence on the total costs. </t>
    </r>
  </si>
  <si>
    <t>CO2 reduction costs as a function of operating cost variables</t>
  </si>
  <si>
    <t>Price default</t>
  </si>
  <si>
    <t>Value for calculation</t>
  </si>
  <si>
    <t>Input sensitivity analysis</t>
  </si>
  <si>
    <t>Additional costs / CO2 reduction costs as a function of the EUA price</t>
  </si>
  <si>
    <t>Contract price</t>
  </si>
  <si>
    <t>€/tCO2 reduction</t>
  </si>
  <si>
    <t>OPEX and CAPEX</t>
  </si>
  <si>
    <t>Selection diagram</t>
  </si>
  <si>
    <t>Compensation elimination of allocation if EUA price = contract price</t>
  </si>
  <si>
    <r>
      <t xml:space="preserve">Explanation: </t>
    </r>
    <r>
      <rPr>
        <sz val="10"/>
        <color theme="1"/>
        <rFont val="Arial"/>
        <family val="2"/>
      </rPr>
      <t xml:space="preserve">Depiction of the additional costs and CO2 reduction costs as a function of the EUA price. The blue area indicates the costs to compensate for the allocations that are eliminated for the DRI plant. The line below the blue area shows hypothetical additional costs in the case of an effective CO2 price without free allocations. </t>
    </r>
  </si>
  <si>
    <t>€/tcrude steel</t>
  </si>
  <si>
    <r>
      <t>CO</t>
    </r>
    <r>
      <rPr>
        <b/>
        <vertAlign val="subscript"/>
        <sz val="14"/>
        <color rgb="FF617494"/>
        <rFont val="Arial"/>
        <family val="2"/>
      </rPr>
      <t>2</t>
    </r>
    <r>
      <rPr>
        <b/>
        <sz val="14"/>
        <color rgb="FF617494"/>
        <rFont val="Arial"/>
        <family val="2"/>
      </rPr>
      <t xml:space="preserve"> reduction costs</t>
    </r>
  </si>
  <si>
    <t>Aggregates</t>
  </si>
  <si>
    <t>Chart table</t>
  </si>
  <si>
    <t>Detailed consideration of OPEX</t>
  </si>
  <si>
    <t>Blast furnace route</t>
  </si>
  <si>
    <t>Blast furnace route - calculated</t>
  </si>
  <si>
    <t>CO2 reduction [t/tcrude steel]</t>
  </si>
  <si>
    <t>OPEX (without EUA costs)</t>
  </si>
  <si>
    <t>General operating coasts</t>
  </si>
  <si>
    <t>just OPEX</t>
  </si>
  <si>
    <t xml:space="preserve">Blast furnace route - reference </t>
  </si>
  <si>
    <t>yes</t>
  </si>
  <si>
    <t>€/t crude steel</t>
  </si>
  <si>
    <t>Reference value</t>
  </si>
  <si>
    <t>Blast furnace route - 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</si>
</sst>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_(&quot;$&quot;* #,##0_);_(&quot;$&quot;* \(#,##0\);_(&quot;$&quot;* &quot;-&quot;_);_(@_)"/>
    <numFmt numFmtId="166" formatCode="0.000"/>
    <numFmt numFmtId="167" formatCode="0.0"/>
    <numFmt numFmtId="168" formatCode="#,##0.00\ &quot;€&quot;"/>
    <numFmt numFmtId="169" formatCode="0.0000"/>
  </numFmts>
  <fonts count="69">
    <font>
      <sz val="11"/>
      <color theme="1"/>
      <name val="Arial"/>
      <family val="2"/>
      <scheme val="minor"/>
    </font>
    <font>
      <sz val="10"/>
      <color theme="1"/>
      <name val="Arial"/>
      <family val="2"/>
    </font>
    <font>
      <sz val="11"/>
      <color theme="1"/>
      <name val="Arial"/>
      <family val="2"/>
      <scheme val="minor"/>
    </font>
    <font>
      <b/>
      <sz val="10"/>
      <color theme="1"/>
      <name val="Arial"/>
      <family val="2"/>
    </font>
    <font>
      <sz val="10"/>
      <name val="Arial"/>
      <family val="2"/>
    </font>
    <font>
      <sz val="11"/>
      <color indexed="8"/>
      <name val="Calibri"/>
      <family val="2"/>
    </font>
    <font>
      <sz val="9"/>
      <name val="Times New Roman"/>
      <family val="1"/>
    </font>
    <font>
      <sz val="11"/>
      <color indexed="9"/>
      <name val="Calibri"/>
      <family val="2"/>
    </font>
    <font>
      <b/>
      <sz val="11"/>
      <color indexed="63"/>
      <name val="Calibri"/>
      <family val="2"/>
    </font>
    <font>
      <b/>
      <sz val="11"/>
      <color indexed="52"/>
      <name val="Calibri"/>
      <family val="2"/>
    </font>
    <font>
      <b/>
      <sz val="9"/>
      <name val="Times New Roman"/>
      <family val="1"/>
    </font>
    <font>
      <sz val="10"/>
      <name val="Helv"/>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8"/>
      <name val="Helvetica"/>
      <family val="2"/>
    </font>
    <font>
      <b/>
      <sz val="12"/>
      <name val="NewCenturySchlbk"/>
      <family val="1"/>
    </font>
    <font>
      <sz val="11"/>
      <color indexed="20"/>
      <name val="Calibri"/>
      <family val="2"/>
    </font>
    <font>
      <b/>
      <sz val="12"/>
      <name val="NewCenturySchlbk"/>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0"/>
      <color theme="1"/>
      <name val="Arial"/>
      <family val="2"/>
    </font>
    <font>
      <sz val="10"/>
      <color rgb="FF323232"/>
      <name val="Arial"/>
      <family val="2"/>
    </font>
    <font>
      <b/>
      <sz val="12"/>
      <color theme="1"/>
      <name val="Arial"/>
      <family val="2"/>
    </font>
    <font>
      <b/>
      <i/>
      <sz val="10"/>
      <color theme="1"/>
      <name val="Arial"/>
      <family val="2"/>
    </font>
    <font>
      <u/>
      <sz val="11"/>
      <color theme="10"/>
      <name val="Arial"/>
      <family val="2"/>
      <scheme val="minor"/>
    </font>
    <font>
      <u/>
      <sz val="11"/>
      <color theme="11"/>
      <name val="Arial"/>
      <family val="2"/>
      <scheme val="minor"/>
    </font>
    <font>
      <u/>
      <sz val="10"/>
      <color theme="1"/>
      <name val="Arial"/>
      <family val="2"/>
    </font>
    <font>
      <sz val="10"/>
      <color rgb="FFC00000"/>
      <name val="Arial"/>
      <family val="2"/>
    </font>
    <font>
      <b/>
      <sz val="10"/>
      <name val="Arial"/>
      <family val="2"/>
    </font>
    <font>
      <b/>
      <sz val="10"/>
      <color rgb="FF323232"/>
      <name val="Arial"/>
      <family val="2"/>
    </font>
    <font>
      <sz val="10"/>
      <color rgb="FF444444"/>
      <name val="Arial"/>
      <family val="2"/>
    </font>
    <font>
      <sz val="8"/>
      <name val="Arial"/>
      <family val="2"/>
      <scheme val="minor"/>
    </font>
    <font>
      <sz val="12"/>
      <color theme="1"/>
      <name val="Arial"/>
      <family val="2"/>
      <scheme val="minor"/>
    </font>
    <font>
      <u/>
      <sz val="10"/>
      <color theme="10"/>
      <name val="Arial"/>
      <family val="2"/>
    </font>
    <font>
      <u/>
      <sz val="10"/>
      <color indexed="12"/>
      <name val="Arial"/>
      <family val="2"/>
    </font>
    <font>
      <b/>
      <sz val="10"/>
      <color rgb="FF000000"/>
      <name val="Arial"/>
      <family val="2"/>
      <scheme val="minor"/>
    </font>
    <font>
      <sz val="10"/>
      <color theme="3" tint="0.34998626667073579"/>
      <name val="Arial"/>
      <family val="2"/>
    </font>
    <font>
      <sz val="11"/>
      <color theme="3" tint="0.34998626667073579"/>
      <name val="Arial"/>
      <family val="2"/>
      <scheme val="minor"/>
    </font>
    <font>
      <b/>
      <sz val="14"/>
      <color rgb="FF617494"/>
      <name val="Arial"/>
      <family val="2"/>
      <scheme val="minor"/>
    </font>
    <font>
      <b/>
      <sz val="14"/>
      <color rgb="FF5B6092"/>
      <name val="Arial"/>
      <family val="2"/>
      <scheme val="minor"/>
    </font>
    <font>
      <b/>
      <sz val="12"/>
      <color rgb="FF617494"/>
      <name val="Arial"/>
      <family val="2"/>
    </font>
    <font>
      <sz val="10"/>
      <color theme="3" tint="0.249977111117893"/>
      <name val="Arial"/>
      <family val="2"/>
    </font>
    <font>
      <sz val="11"/>
      <color theme="3" tint="0.249977111117893"/>
      <name val="Arial"/>
      <family val="2"/>
      <scheme val="minor"/>
    </font>
    <font>
      <u/>
      <sz val="10"/>
      <color theme="3" tint="0.249977111117893"/>
      <name val="Arial"/>
      <family val="2"/>
    </font>
    <font>
      <b/>
      <sz val="14"/>
      <color rgb="FF617494"/>
      <name val="Arial"/>
      <family val="2"/>
    </font>
    <font>
      <b/>
      <sz val="10"/>
      <color theme="3" tint="0.249977111117893"/>
      <name val="Arial"/>
      <family val="2"/>
    </font>
    <font>
      <b/>
      <sz val="11"/>
      <color theme="3" tint="0.249977111117893"/>
      <name val="Arial"/>
      <family val="2"/>
      <scheme val="minor"/>
    </font>
    <font>
      <b/>
      <sz val="11"/>
      <color rgb="FF617494"/>
      <name val="Arial"/>
      <family val="2"/>
      <scheme val="minor"/>
    </font>
    <font>
      <sz val="11"/>
      <name val="Arial"/>
      <family val="2"/>
      <scheme val="minor"/>
    </font>
    <font>
      <u/>
      <sz val="10"/>
      <name val="Arial"/>
      <family val="2"/>
    </font>
    <font>
      <b/>
      <sz val="11"/>
      <name val="Arial"/>
      <family val="2"/>
      <scheme val="minor"/>
    </font>
    <font>
      <sz val="10"/>
      <name val="Arial"/>
      <family val="2"/>
      <scheme val="minor"/>
    </font>
    <font>
      <sz val="10"/>
      <color theme="1"/>
      <name val="Arial"/>
      <family val="2"/>
      <scheme val="minor"/>
    </font>
    <font>
      <b/>
      <sz val="10"/>
      <color theme="1"/>
      <name val="Arial"/>
      <family val="2"/>
      <scheme val="minor"/>
    </font>
    <font>
      <vertAlign val="subscript"/>
      <sz val="10"/>
      <color theme="1"/>
      <name val="Arial"/>
      <family val="2"/>
    </font>
    <font>
      <sz val="10"/>
      <color rgb="FF000000"/>
      <name val="Arial"/>
      <family val="2"/>
    </font>
    <font>
      <i/>
      <sz val="10"/>
      <color rgb="FF00B050"/>
      <name val="Arial"/>
      <family val="2"/>
    </font>
    <font>
      <i/>
      <sz val="10"/>
      <name val="Arial"/>
      <family val="2"/>
    </font>
    <font>
      <sz val="10"/>
      <color rgb="FFFF0000"/>
      <name val="Arial"/>
      <family val="2"/>
    </font>
    <font>
      <b/>
      <vertAlign val="subscript"/>
      <sz val="10"/>
      <color theme="1"/>
      <name val="Arial"/>
      <family val="2"/>
    </font>
    <font>
      <b/>
      <vertAlign val="subscript"/>
      <sz val="14"/>
      <color rgb="FF617494"/>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2"/>
        <bgColor indexed="64"/>
      </patternFill>
    </fill>
    <fill>
      <patternFill patternType="solid">
        <fgColor indexed="26"/>
      </patternFill>
    </fill>
    <fill>
      <patternFill patternType="solid">
        <fgColor indexed="55"/>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617494"/>
        <bgColor indexed="64"/>
      </patternFill>
    </fill>
    <fill>
      <patternFill patternType="solid">
        <fgColor rgb="FFFFFFFF"/>
        <bgColor indexed="64"/>
      </patternFill>
    </fill>
    <fill>
      <patternFill patternType="solid">
        <fgColor rgb="FFFFFFFF"/>
        <bgColor rgb="FF000000"/>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2" tint="-4.9989318521683403E-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rgb="FF617494"/>
      </top>
      <bottom/>
      <diagonal/>
    </border>
    <border>
      <left/>
      <right/>
      <top/>
      <bottom style="thin">
        <color rgb="FF617494"/>
      </bottom>
      <diagonal/>
    </border>
    <border>
      <left/>
      <right/>
      <top/>
      <bottom style="double">
        <color rgb="FF617494"/>
      </bottom>
      <diagonal/>
    </border>
    <border>
      <left/>
      <right/>
      <top style="double">
        <color rgb="FF617494"/>
      </top>
      <bottom/>
      <diagonal/>
    </border>
    <border>
      <left/>
      <right/>
      <top/>
      <bottom style="double">
        <color auto="1"/>
      </bottom>
      <diagonal/>
    </border>
    <border>
      <left style="thin">
        <color indexed="64"/>
      </left>
      <right style="thin">
        <color indexed="64"/>
      </right>
      <top style="thin">
        <color indexed="64"/>
      </top>
      <bottom/>
      <diagonal/>
    </border>
  </borders>
  <cellStyleXfs count="135">
    <xf numFmtId="0" fontId="0" fillId="0" borderId="0"/>
    <xf numFmtId="0" fontId="2" fillId="0" borderId="0"/>
    <xf numFmtId="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49" fontId="6" fillId="0" borderId="1" applyNumberFormat="0" applyFont="0" applyFill="0" applyBorder="0" applyProtection="0">
      <alignment horizontal="left" vertical="center" indent="2"/>
    </xf>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20" borderId="2" applyNumberFormat="0" applyAlignment="0" applyProtection="0"/>
    <xf numFmtId="0" fontId="9" fillId="20" borderId="3" applyNumberFormat="0" applyAlignment="0" applyProtection="0"/>
    <xf numFmtId="4" fontId="10" fillId="0" borderId="4" applyFill="0" applyBorder="0" applyProtection="0">
      <alignment horizontal="right" vertical="center"/>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 fontId="11" fillId="0" borderId="0" applyFont="0" applyFill="0" applyBorder="0" applyAlignment="0" applyProtection="0"/>
    <xf numFmtId="0" fontId="12" fillId="7" borderId="3" applyNumberFormat="0" applyAlignment="0" applyProtection="0"/>
    <xf numFmtId="0" fontId="13" fillId="0" borderId="5"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4" fontId="11" fillId="0" borderId="0" applyFont="0" applyFill="0" applyBorder="0" applyAlignment="0" applyProtection="0"/>
    <xf numFmtId="0" fontId="16" fillId="21" borderId="0" applyNumberFormat="0" applyBorder="0" applyAlignment="0" applyProtection="0"/>
    <xf numFmtId="4" fontId="6" fillId="0" borderId="1" applyFill="0" applyBorder="0" applyProtection="0">
      <alignment horizontal="right" vertical="center"/>
    </xf>
    <xf numFmtId="0" fontId="17" fillId="22" borderId="0" applyNumberFormat="0" applyFont="0" applyBorder="0" applyAlignment="0" applyProtection="0"/>
    <xf numFmtId="0" fontId="18" fillId="23" borderId="6" applyNumberFormat="0" applyFont="0" applyAlignment="0" applyProtection="0"/>
    <xf numFmtId="9" fontId="2" fillId="0" borderId="0" applyFont="0" applyFill="0" applyBorder="0" applyAlignment="0" applyProtection="0"/>
    <xf numFmtId="0" fontId="19" fillId="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6" fillId="0" borderId="0" applyNumberFormat="0" applyFill="0" applyBorder="0" applyAlignment="0" applyProtection="0"/>
    <xf numFmtId="0" fontId="27" fillId="24" borderId="11"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40" fillId="0" borderId="0"/>
    <xf numFmtId="0" fontId="41" fillId="0" borderId="0" applyNumberFormat="0" applyFill="0" applyBorder="0" applyAlignment="0" applyProtection="0"/>
    <xf numFmtId="0" fontId="42" fillId="0" borderId="0" applyNumberFormat="0" applyFill="0" applyBorder="0" applyAlignment="0" applyProtection="0">
      <alignment vertical="top"/>
      <protection locked="0"/>
    </xf>
  </cellStyleXfs>
  <cellXfs count="372">
    <xf numFmtId="0" fontId="0" fillId="0" borderId="0" xfId="0"/>
    <xf numFmtId="0" fontId="1" fillId="32" borderId="0" xfId="0" applyFont="1" applyFill="1"/>
    <xf numFmtId="0" fontId="44" fillId="32" borderId="0" xfId="0" applyFont="1" applyFill="1"/>
    <xf numFmtId="0" fontId="44" fillId="33" borderId="0" xfId="0" applyFont="1" applyFill="1"/>
    <xf numFmtId="0" fontId="45" fillId="26" borderId="0" xfId="69" applyFont="1" applyFill="1" applyAlignment="1">
      <alignment horizontal="left" vertical="center" indent="1"/>
    </xf>
    <xf numFmtId="0" fontId="45" fillId="26" borderId="0" xfId="69" applyFont="1" applyFill="1" applyAlignment="1">
      <alignment vertical="center"/>
    </xf>
    <xf numFmtId="0" fontId="45" fillId="32" borderId="0" xfId="69" applyFont="1" applyFill="1" applyAlignment="1">
      <alignment vertical="center"/>
    </xf>
    <xf numFmtId="0" fontId="46" fillId="26" borderId="0" xfId="69" applyFont="1" applyFill="1" applyAlignment="1">
      <alignment horizontal="left" vertical="center" indent="1"/>
    </xf>
    <xf numFmtId="0" fontId="47" fillId="26" borderId="0" xfId="69" applyFont="1" applyFill="1" applyAlignment="1">
      <alignment horizontal="left" vertical="center" indent="1"/>
    </xf>
    <xf numFmtId="0" fontId="45" fillId="26" borderId="14" xfId="69" applyFont="1" applyFill="1" applyBorder="1" applyAlignment="1">
      <alignment horizontal="left" vertical="center" indent="1"/>
    </xf>
    <xf numFmtId="0" fontId="45" fillId="26" borderId="14" xfId="69" applyFont="1" applyFill="1" applyBorder="1" applyAlignment="1">
      <alignment vertical="center"/>
    </xf>
    <xf numFmtId="0" fontId="49" fillId="26" borderId="0" xfId="69" applyFont="1" applyFill="1" applyAlignment="1">
      <alignment horizontal="left" vertical="center" indent="1"/>
    </xf>
    <xf numFmtId="0" fontId="49" fillId="26" borderId="0" xfId="69" applyFont="1" applyFill="1" applyAlignment="1">
      <alignment vertical="center"/>
    </xf>
    <xf numFmtId="0" fontId="50" fillId="26" borderId="0" xfId="69" applyFont="1" applyFill="1" applyAlignment="1">
      <alignment vertical="center"/>
    </xf>
    <xf numFmtId="0" fontId="49" fillId="26" borderId="0" xfId="69" applyFont="1" applyFill="1" applyAlignment="1">
      <alignment horizontal="center" vertical="center"/>
    </xf>
    <xf numFmtId="0" fontId="50" fillId="26" borderId="0" xfId="69" applyFont="1" applyFill="1" applyAlignment="1">
      <alignment horizontal="left" vertical="center" indent="1"/>
    </xf>
    <xf numFmtId="3" fontId="51" fillId="26" borderId="0" xfId="133" applyNumberFormat="1" applyFont="1" applyFill="1" applyBorder="1" applyAlignment="1" applyProtection="1">
      <alignment vertical="center"/>
    </xf>
    <xf numFmtId="0" fontId="50" fillId="26" borderId="12" xfId="69" applyFont="1" applyFill="1" applyBorder="1" applyAlignment="1">
      <alignment horizontal="left" vertical="center" indent="1"/>
    </xf>
    <xf numFmtId="0" fontId="49" fillId="26" borderId="12" xfId="69" applyFont="1" applyFill="1" applyBorder="1" applyAlignment="1">
      <alignment vertical="center"/>
    </xf>
    <xf numFmtId="0" fontId="50" fillId="26" borderId="12" xfId="69" applyFont="1" applyFill="1" applyBorder="1" applyAlignment="1">
      <alignment vertical="center"/>
    </xf>
    <xf numFmtId="49" fontId="49" fillId="26" borderId="0" xfId="69" quotePrefix="1" applyNumberFormat="1" applyFont="1" applyFill="1" applyAlignment="1">
      <alignment vertical="center"/>
    </xf>
    <xf numFmtId="0" fontId="49" fillId="33" borderId="0" xfId="0" applyFont="1" applyFill="1"/>
    <xf numFmtId="0" fontId="1" fillId="33" borderId="0" xfId="0" applyFont="1" applyFill="1"/>
    <xf numFmtId="0" fontId="2" fillId="26" borderId="0" xfId="69" applyFill="1" applyAlignment="1">
      <alignment horizontal="left" vertical="center" indent="1"/>
    </xf>
    <xf numFmtId="0" fontId="2" fillId="26" borderId="0" xfId="69" applyFill="1" applyAlignment="1">
      <alignment vertical="center"/>
    </xf>
    <xf numFmtId="0" fontId="2" fillId="32" borderId="0" xfId="69" applyFill="1" applyAlignment="1">
      <alignment vertical="center"/>
    </xf>
    <xf numFmtId="0" fontId="52" fillId="33" borderId="0" xfId="0" applyFont="1" applyFill="1"/>
    <xf numFmtId="0" fontId="1" fillId="33" borderId="16" xfId="0" applyFont="1" applyFill="1" applyBorder="1"/>
    <xf numFmtId="0" fontId="49" fillId="32" borderId="0" xfId="0" applyFont="1" applyFill="1"/>
    <xf numFmtId="0" fontId="53" fillId="33" borderId="0" xfId="132" applyFont="1" applyFill="1"/>
    <xf numFmtId="0" fontId="49" fillId="33" borderId="0" xfId="132" applyFont="1" applyFill="1" applyAlignment="1">
      <alignment horizontal="left" vertical="center" wrapText="1" readingOrder="1"/>
    </xf>
    <xf numFmtId="0" fontId="49" fillId="33" borderId="0" xfId="132" applyFont="1" applyFill="1" applyAlignment="1">
      <alignment wrapText="1"/>
    </xf>
    <xf numFmtId="0" fontId="53" fillId="33" borderId="0" xfId="132" applyFont="1" applyFill="1" applyAlignment="1">
      <alignment wrapText="1"/>
    </xf>
    <xf numFmtId="0" fontId="1" fillId="32" borderId="0" xfId="0" applyFont="1" applyFill="1" applyBorder="1"/>
    <xf numFmtId="0" fontId="4" fillId="32" borderId="0" xfId="0" applyFont="1" applyFill="1"/>
    <xf numFmtId="3" fontId="1" fillId="32" borderId="0" xfId="0" applyNumberFormat="1" applyFont="1" applyFill="1" applyBorder="1"/>
    <xf numFmtId="0" fontId="34" fillId="32" borderId="0" xfId="0" applyFont="1" applyFill="1"/>
    <xf numFmtId="3" fontId="1" fillId="32" borderId="0" xfId="0" applyNumberFormat="1" applyFont="1" applyFill="1"/>
    <xf numFmtId="0" fontId="1" fillId="33" borderId="0" xfId="0" applyFont="1" applyFill="1" applyBorder="1"/>
    <xf numFmtId="0" fontId="3" fillId="33" borderId="0" xfId="0" applyFont="1" applyFill="1"/>
    <xf numFmtId="0" fontId="1" fillId="32" borderId="0" xfId="0" applyFont="1" applyFill="1" applyAlignment="1">
      <alignment vertical="top" wrapText="1"/>
    </xf>
    <xf numFmtId="0" fontId="1" fillId="33" borderId="0" xfId="0" applyFont="1" applyFill="1" applyAlignment="1">
      <alignment vertical="top" wrapText="1"/>
    </xf>
    <xf numFmtId="0" fontId="54" fillId="33" borderId="0" xfId="0" applyFont="1" applyFill="1" applyAlignment="1">
      <alignment vertical="top" wrapText="1"/>
    </xf>
    <xf numFmtId="0" fontId="0" fillId="32" borderId="0" xfId="0" applyFill="1"/>
    <xf numFmtId="0" fontId="49" fillId="33" borderId="0" xfId="0" applyFont="1" applyFill="1" applyAlignment="1">
      <alignment vertical="top" wrapText="1"/>
    </xf>
    <xf numFmtId="0" fontId="56" fillId="33" borderId="0" xfId="0" applyFont="1" applyFill="1" applyAlignment="1">
      <alignment vertical="top" wrapText="1"/>
    </xf>
    <xf numFmtId="0" fontId="0" fillId="32" borderId="0" xfId="0" applyFill="1" applyAlignment="1">
      <alignment vertical="top" wrapText="1"/>
    </xf>
    <xf numFmtId="3" fontId="1" fillId="33" borderId="0" xfId="0" applyNumberFormat="1" applyFont="1" applyFill="1" applyBorder="1"/>
    <xf numFmtId="0" fontId="3" fillId="33" borderId="0" xfId="0" applyFont="1" applyFill="1" applyBorder="1"/>
    <xf numFmtId="1" fontId="1" fillId="33" borderId="0" xfId="0" applyNumberFormat="1" applyFont="1" applyFill="1" applyBorder="1"/>
    <xf numFmtId="0" fontId="1" fillId="33" borderId="0" xfId="0" applyFont="1" applyFill="1" applyBorder="1" applyAlignment="1">
      <alignment horizontal="right"/>
    </xf>
    <xf numFmtId="0" fontId="3" fillId="33" borderId="0" xfId="0" applyFont="1" applyFill="1" applyBorder="1" applyAlignment="1">
      <alignment horizontal="left" vertical="top"/>
    </xf>
    <xf numFmtId="0" fontId="4" fillId="25" borderId="0" xfId="0" applyFont="1" applyFill="1" applyBorder="1" applyAlignment="1">
      <alignment horizontal="left" vertical="top"/>
    </xf>
    <xf numFmtId="0" fontId="1" fillId="33" borderId="0" xfId="0" applyFont="1" applyFill="1" applyBorder="1" applyAlignment="1">
      <alignment horizontal="left" vertical="top"/>
    </xf>
    <xf numFmtId="0" fontId="3" fillId="33" borderId="0" xfId="0" applyFont="1" applyFill="1" applyAlignment="1">
      <alignment horizontal="left" vertical="top"/>
    </xf>
    <xf numFmtId="0" fontId="1" fillId="33" borderId="0" xfId="0" applyFont="1" applyFill="1" applyAlignment="1">
      <alignment horizontal="left" vertical="top"/>
    </xf>
    <xf numFmtId="0" fontId="3" fillId="25" borderId="0" xfId="0" applyFont="1" applyFill="1" applyBorder="1" applyAlignment="1">
      <alignment horizontal="left" vertical="top"/>
    </xf>
    <xf numFmtId="0" fontId="28" fillId="25" borderId="0" xfId="0" applyFont="1" applyFill="1" applyBorder="1" applyAlignment="1">
      <alignment horizontal="left" vertical="top"/>
    </xf>
    <xf numFmtId="0" fontId="1" fillId="25" borderId="0" xfId="0" applyFont="1" applyFill="1" applyBorder="1" applyAlignment="1">
      <alignment horizontal="left" vertical="top"/>
    </xf>
    <xf numFmtId="9" fontId="28" fillId="25" borderId="0" xfId="0" applyNumberFormat="1" applyFont="1" applyFill="1" applyBorder="1" applyAlignment="1">
      <alignment horizontal="left" vertical="top"/>
    </xf>
    <xf numFmtId="9" fontId="1" fillId="25" borderId="0" xfId="0" applyNumberFormat="1" applyFont="1" applyFill="1" applyBorder="1" applyAlignment="1">
      <alignment horizontal="left" vertical="top"/>
    </xf>
    <xf numFmtId="0" fontId="36" fillId="33" borderId="0" xfId="0" applyFont="1" applyFill="1" applyBorder="1" applyAlignment="1">
      <alignment horizontal="left" vertical="top"/>
    </xf>
    <xf numFmtId="0" fontId="4" fillId="33" borderId="0" xfId="0" applyFont="1" applyFill="1" applyBorder="1" applyAlignment="1">
      <alignment horizontal="left" vertical="top"/>
    </xf>
    <xf numFmtId="2" fontId="36" fillId="33" borderId="0" xfId="0" applyNumberFormat="1" applyFont="1" applyFill="1" applyBorder="1" applyAlignment="1">
      <alignment horizontal="left" vertical="top"/>
    </xf>
    <xf numFmtId="0" fontId="36" fillId="25" borderId="0" xfId="0" applyFont="1" applyFill="1" applyBorder="1" applyAlignment="1">
      <alignment horizontal="left" vertical="top"/>
    </xf>
    <xf numFmtId="2" fontId="36" fillId="25" borderId="0" xfId="0" applyNumberFormat="1" applyFont="1" applyFill="1" applyBorder="1" applyAlignment="1">
      <alignment horizontal="left" vertical="top"/>
    </xf>
    <xf numFmtId="166" fontId="4" fillId="33" borderId="0" xfId="0" applyNumberFormat="1" applyFont="1" applyFill="1" applyBorder="1" applyAlignment="1">
      <alignment horizontal="left" vertical="top"/>
    </xf>
    <xf numFmtId="9" fontId="1" fillId="33" borderId="0" xfId="0" applyNumberFormat="1" applyFont="1" applyFill="1" applyBorder="1" applyAlignment="1">
      <alignment horizontal="left" vertical="top"/>
    </xf>
    <xf numFmtId="1" fontId="1" fillId="33" borderId="0" xfId="0" applyNumberFormat="1" applyFont="1" applyFill="1" applyBorder="1" applyAlignment="1">
      <alignment horizontal="left" vertical="top"/>
    </xf>
    <xf numFmtId="1" fontId="1" fillId="25" borderId="0" xfId="0" applyNumberFormat="1" applyFont="1" applyFill="1" applyBorder="1" applyAlignment="1">
      <alignment horizontal="left" vertical="top"/>
    </xf>
    <xf numFmtId="0" fontId="1" fillId="32" borderId="0" xfId="0" applyFont="1" applyFill="1" applyAlignment="1">
      <alignment horizontal="left" vertical="top"/>
    </xf>
    <xf numFmtId="0" fontId="52" fillId="33" borderId="0" xfId="0" applyFont="1" applyFill="1" applyAlignment="1">
      <alignment horizontal="left" vertical="top"/>
    </xf>
    <xf numFmtId="0" fontId="48" fillId="33" borderId="0" xfId="0" applyFont="1" applyFill="1" applyAlignment="1">
      <alignment horizontal="left" vertical="top"/>
    </xf>
    <xf numFmtId="0" fontId="48" fillId="33" borderId="0" xfId="0" applyFont="1" applyFill="1" applyBorder="1" applyAlignment="1">
      <alignment horizontal="left" vertical="top"/>
    </xf>
    <xf numFmtId="1" fontId="4" fillId="25" borderId="0" xfId="0" applyNumberFormat="1" applyFont="1" applyFill="1" applyBorder="1" applyAlignment="1">
      <alignment horizontal="left" vertical="top"/>
    </xf>
    <xf numFmtId="0" fontId="37" fillId="33" borderId="0" xfId="0" applyFont="1" applyFill="1" applyBorder="1" applyAlignment="1">
      <alignment horizontal="left" vertical="top"/>
    </xf>
    <xf numFmtId="166" fontId="4" fillId="25" borderId="0" xfId="0" applyNumberFormat="1" applyFont="1" applyFill="1" applyBorder="1" applyAlignment="1">
      <alignment horizontal="left" vertical="top"/>
    </xf>
    <xf numFmtId="166" fontId="3" fillId="25" borderId="0" xfId="0" applyNumberFormat="1" applyFont="1" applyFill="1" applyBorder="1" applyAlignment="1">
      <alignment horizontal="left" vertical="top"/>
    </xf>
    <xf numFmtId="0" fontId="30" fillId="33" borderId="0" xfId="0" applyFont="1" applyFill="1" applyBorder="1" applyAlignment="1">
      <alignment horizontal="left" vertical="top"/>
    </xf>
    <xf numFmtId="1" fontId="3" fillId="25" borderId="0" xfId="0" applyNumberFormat="1" applyFont="1" applyFill="1" applyBorder="1" applyAlignment="1">
      <alignment horizontal="left" vertical="top"/>
    </xf>
    <xf numFmtId="0" fontId="29" fillId="33" borderId="0" xfId="0" applyFont="1" applyFill="1" applyBorder="1" applyAlignment="1">
      <alignment horizontal="left" vertical="top"/>
    </xf>
    <xf numFmtId="0" fontId="1" fillId="32" borderId="0" xfId="0" applyFont="1" applyFill="1" applyBorder="1" applyAlignment="1">
      <alignment horizontal="left" vertical="top"/>
    </xf>
    <xf numFmtId="0" fontId="29" fillId="25" borderId="0" xfId="0" applyFont="1" applyFill="1" applyBorder="1" applyAlignment="1">
      <alignment horizontal="left" vertical="top"/>
    </xf>
    <xf numFmtId="0" fontId="1" fillId="33" borderId="16" xfId="0" applyFont="1" applyFill="1" applyBorder="1" applyAlignment="1">
      <alignment horizontal="left" vertical="top"/>
    </xf>
    <xf numFmtId="0" fontId="3" fillId="33" borderId="17" xfId="0" applyFont="1" applyFill="1" applyBorder="1" applyAlignment="1">
      <alignment horizontal="left" vertical="top"/>
    </xf>
    <xf numFmtId="0" fontId="28" fillId="33" borderId="17" xfId="0" applyFont="1" applyFill="1" applyBorder="1" applyAlignment="1">
      <alignment horizontal="left" vertical="top"/>
    </xf>
    <xf numFmtId="0" fontId="1" fillId="33" borderId="17" xfId="0" applyFont="1" applyFill="1" applyBorder="1" applyAlignment="1">
      <alignment horizontal="left" vertical="top"/>
    </xf>
    <xf numFmtId="0" fontId="1" fillId="33" borderId="19" xfId="0" applyFont="1" applyFill="1" applyBorder="1" applyAlignment="1">
      <alignment horizontal="left" vertical="top"/>
    </xf>
    <xf numFmtId="0" fontId="31" fillId="33" borderId="19" xfId="0" applyFont="1" applyFill="1" applyBorder="1" applyAlignment="1">
      <alignment horizontal="left" vertical="top"/>
    </xf>
    <xf numFmtId="0" fontId="28" fillId="33" borderId="19" xfId="0" applyFont="1" applyFill="1" applyBorder="1" applyAlignment="1">
      <alignment horizontal="left" vertical="top"/>
    </xf>
    <xf numFmtId="1" fontId="3" fillId="33" borderId="0" xfId="0" applyNumberFormat="1" applyFont="1" applyFill="1" applyBorder="1" applyAlignment="1">
      <alignment horizontal="left" vertical="top"/>
    </xf>
    <xf numFmtId="167" fontId="3" fillId="25" borderId="0" xfId="0" applyNumberFormat="1" applyFont="1" applyFill="1" applyBorder="1" applyAlignment="1">
      <alignment horizontal="left" vertical="top"/>
    </xf>
    <xf numFmtId="0" fontId="43" fillId="25" borderId="0" xfId="0" applyFont="1" applyFill="1" applyBorder="1" applyAlignment="1">
      <alignment horizontal="left" vertical="top"/>
    </xf>
    <xf numFmtId="0" fontId="1" fillId="25" borderId="18" xfId="0" applyFont="1" applyFill="1" applyBorder="1" applyAlignment="1">
      <alignment horizontal="left" vertical="top"/>
    </xf>
    <xf numFmtId="0" fontId="38" fillId="33" borderId="0" xfId="0" applyFont="1" applyFill="1" applyBorder="1" applyAlignment="1">
      <alignment horizontal="left" vertical="top"/>
    </xf>
    <xf numFmtId="0" fontId="49" fillId="32" borderId="0" xfId="0" applyFont="1" applyFill="1" applyAlignment="1">
      <alignment horizontal="left" vertical="top"/>
    </xf>
    <xf numFmtId="0" fontId="49" fillId="33" borderId="0" xfId="0" applyFont="1" applyFill="1" applyAlignment="1">
      <alignment horizontal="left" vertical="top"/>
    </xf>
    <xf numFmtId="2" fontId="1" fillId="33" borderId="0" xfId="0" applyNumberFormat="1" applyFont="1" applyFill="1" applyBorder="1" applyAlignment="1">
      <alignment horizontal="left" vertical="top"/>
    </xf>
    <xf numFmtId="2" fontId="1" fillId="32" borderId="0" xfId="0" applyNumberFormat="1" applyFont="1" applyFill="1" applyAlignment="1">
      <alignment horizontal="left" vertical="top"/>
    </xf>
    <xf numFmtId="2" fontId="1" fillId="25" borderId="0" xfId="0" applyNumberFormat="1" applyFont="1" applyFill="1" applyBorder="1" applyAlignment="1">
      <alignment horizontal="left" vertical="top"/>
    </xf>
    <xf numFmtId="9" fontId="4" fillId="33" borderId="0" xfId="0" applyNumberFormat="1" applyFont="1" applyFill="1" applyBorder="1" applyAlignment="1">
      <alignment horizontal="left" vertical="top"/>
    </xf>
    <xf numFmtId="0" fontId="3" fillId="32" borderId="0" xfId="0" applyFont="1" applyFill="1" applyAlignment="1">
      <alignment horizontal="left" vertical="top"/>
    </xf>
    <xf numFmtId="0" fontId="1" fillId="33" borderId="0" xfId="0" applyFont="1" applyFill="1" applyBorder="1" applyAlignment="1">
      <alignment wrapText="1"/>
    </xf>
    <xf numFmtId="167" fontId="1" fillId="33" borderId="0" xfId="0" applyNumberFormat="1" applyFont="1" applyFill="1" applyBorder="1"/>
    <xf numFmtId="0" fontId="3" fillId="33" borderId="0" xfId="0" applyFont="1" applyFill="1" applyBorder="1" applyAlignment="1">
      <alignment horizontal="left" vertical="top"/>
    </xf>
    <xf numFmtId="1" fontId="3" fillId="27" borderId="0" xfId="0" applyNumberFormat="1" applyFont="1" applyFill="1" applyBorder="1" applyAlignment="1">
      <alignment horizontal="left" vertical="top"/>
    </xf>
    <xf numFmtId="0" fontId="3" fillId="27" borderId="0" xfId="0" applyFont="1" applyFill="1" applyBorder="1" applyAlignment="1">
      <alignment horizontal="left" vertical="top"/>
    </xf>
    <xf numFmtId="0" fontId="1" fillId="27" borderId="0" xfId="0" applyFont="1" applyFill="1" applyBorder="1" applyAlignment="1">
      <alignment horizontal="left" vertical="top"/>
    </xf>
    <xf numFmtId="0" fontId="36" fillId="27" borderId="0" xfId="0" applyFont="1" applyFill="1" applyBorder="1" applyAlignment="1">
      <alignment horizontal="left" vertical="top"/>
    </xf>
    <xf numFmtId="166" fontId="3" fillId="27" borderId="0" xfId="0" applyNumberFormat="1" applyFont="1" applyFill="1" applyBorder="1" applyAlignment="1">
      <alignment horizontal="left" vertical="top"/>
    </xf>
    <xf numFmtId="0" fontId="29" fillId="33" borderId="17" xfId="0" applyFont="1" applyFill="1" applyBorder="1" applyAlignment="1">
      <alignment horizontal="left" vertical="top"/>
    </xf>
    <xf numFmtId="0" fontId="48" fillId="33" borderId="17" xfId="0" applyFont="1" applyFill="1" applyBorder="1" applyAlignment="1">
      <alignment horizontal="left" vertical="top"/>
    </xf>
    <xf numFmtId="166" fontId="1" fillId="25" borderId="0" xfId="0" applyNumberFormat="1" applyFont="1" applyFill="1" applyBorder="1" applyAlignment="1">
      <alignment horizontal="left" vertical="top"/>
    </xf>
    <xf numFmtId="0" fontId="49" fillId="32" borderId="0" xfId="0" applyFont="1" applyFill="1" applyBorder="1"/>
    <xf numFmtId="0" fontId="28" fillId="33" borderId="0" xfId="0" applyFont="1" applyFill="1" applyBorder="1" applyAlignment="1">
      <alignment horizontal="center"/>
    </xf>
    <xf numFmtId="3" fontId="3" fillId="33" borderId="0" xfId="0" applyNumberFormat="1" applyFont="1" applyFill="1" applyBorder="1"/>
    <xf numFmtId="0" fontId="30" fillId="33" borderId="0" xfId="0" applyFont="1" applyFill="1" applyBorder="1" applyAlignment="1">
      <alignment horizontal="center"/>
    </xf>
    <xf numFmtId="0" fontId="1" fillId="30" borderId="0" xfId="0" applyFont="1" applyFill="1" applyBorder="1" applyProtection="1">
      <protection locked="0"/>
    </xf>
    <xf numFmtId="0" fontId="49" fillId="33" borderId="0" xfId="0" applyFont="1" applyFill="1" applyBorder="1"/>
    <xf numFmtId="0" fontId="55" fillId="33" borderId="0" xfId="0" applyFont="1" applyFill="1" applyBorder="1" applyAlignment="1">
      <alignment vertical="top" wrapText="1"/>
    </xf>
    <xf numFmtId="0" fontId="55" fillId="33" borderId="17" xfId="0" applyFont="1" applyFill="1" applyBorder="1" applyAlignment="1">
      <alignment vertical="top" wrapText="1"/>
    </xf>
    <xf numFmtId="0" fontId="52" fillId="33" borderId="0" xfId="0" applyFont="1" applyFill="1" applyBorder="1" applyAlignment="1">
      <alignment horizontal="center"/>
    </xf>
    <xf numFmtId="0" fontId="52" fillId="33" borderId="0" xfId="0" applyFont="1" applyFill="1" applyBorder="1"/>
    <xf numFmtId="0" fontId="3" fillId="32" borderId="0" xfId="0" applyFont="1" applyFill="1"/>
    <xf numFmtId="0" fontId="3" fillId="33" borderId="0" xfId="0" applyFont="1" applyFill="1" applyBorder="1" applyAlignment="1">
      <alignment horizontal="left" vertical="top"/>
    </xf>
    <xf numFmtId="0" fontId="3" fillId="33" borderId="0" xfId="0" applyFont="1" applyFill="1" applyBorder="1" applyAlignment="1">
      <alignment horizontal="left" vertical="top"/>
    </xf>
    <xf numFmtId="0" fontId="4" fillId="33" borderId="0" xfId="0" applyFont="1" applyFill="1" applyAlignment="1">
      <alignment horizontal="left" vertical="top" wrapText="1"/>
    </xf>
    <xf numFmtId="0" fontId="3" fillId="33" borderId="16" xfId="0" applyFont="1" applyFill="1" applyBorder="1" applyAlignment="1">
      <alignment horizontal="left" vertical="top"/>
    </xf>
    <xf numFmtId="0" fontId="3" fillId="33" borderId="16" xfId="0" applyFont="1" applyFill="1" applyBorder="1" applyAlignment="1">
      <alignment horizontal="left" vertical="top" wrapText="1"/>
    </xf>
    <xf numFmtId="0" fontId="3" fillId="33" borderId="0" xfId="0" applyFont="1" applyFill="1" applyBorder="1" applyAlignment="1">
      <alignment horizontal="left" vertical="top" wrapText="1"/>
    </xf>
    <xf numFmtId="0" fontId="3" fillId="33" borderId="17" xfId="0" applyFont="1" applyFill="1" applyBorder="1" applyAlignment="1">
      <alignment horizontal="left" vertical="top" wrapText="1"/>
    </xf>
    <xf numFmtId="0" fontId="1" fillId="25" borderId="0" xfId="0" applyFont="1" applyFill="1" applyBorder="1" applyAlignment="1">
      <alignment horizontal="left" vertical="top" wrapText="1"/>
    </xf>
    <xf numFmtId="3" fontId="4" fillId="33" borderId="0" xfId="0" applyNumberFormat="1" applyFont="1" applyFill="1" applyBorder="1" applyAlignment="1">
      <alignment horizontal="left" vertical="top" wrapText="1"/>
    </xf>
    <xf numFmtId="0" fontId="1" fillId="33" borderId="0" xfId="0" applyFont="1" applyFill="1" applyAlignment="1">
      <alignment horizontal="left" vertical="top" wrapText="1"/>
    </xf>
    <xf numFmtId="0" fontId="1" fillId="33" borderId="0" xfId="0" applyFont="1" applyFill="1" applyBorder="1" applyAlignment="1">
      <alignment horizontal="left" vertical="top" wrapText="1"/>
    </xf>
    <xf numFmtId="0" fontId="1" fillId="33" borderId="19" xfId="0" applyFont="1" applyFill="1" applyBorder="1" applyAlignment="1">
      <alignment horizontal="left" vertical="top" wrapText="1"/>
    </xf>
    <xf numFmtId="3" fontId="1" fillId="33" borderId="16" xfId="0" applyNumberFormat="1" applyFont="1" applyFill="1" applyBorder="1" applyAlignment="1">
      <alignment horizontal="left" vertical="top" wrapText="1"/>
    </xf>
    <xf numFmtId="0" fontId="1" fillId="33" borderId="17" xfId="0" applyFont="1" applyFill="1" applyBorder="1" applyAlignment="1">
      <alignment horizontal="left" vertical="top" wrapText="1"/>
    </xf>
    <xf numFmtId="3" fontId="1" fillId="25" borderId="0" xfId="0" applyNumberFormat="1" applyFont="1" applyFill="1" applyBorder="1" applyAlignment="1">
      <alignment horizontal="left" vertical="top" wrapText="1"/>
    </xf>
    <xf numFmtId="0" fontId="1" fillId="33" borderId="16" xfId="0" applyFont="1" applyFill="1" applyBorder="1" applyAlignment="1">
      <alignment horizontal="left" vertical="top" wrapText="1"/>
    </xf>
    <xf numFmtId="3" fontId="1" fillId="33" borderId="19" xfId="0" applyNumberFormat="1" applyFont="1" applyFill="1" applyBorder="1" applyAlignment="1">
      <alignment horizontal="left" vertical="top" wrapText="1"/>
    </xf>
    <xf numFmtId="0" fontId="4" fillId="33" borderId="0" xfId="0" applyFont="1" applyFill="1" applyBorder="1" applyAlignment="1">
      <alignment horizontal="left" vertical="top" wrapText="1"/>
    </xf>
    <xf numFmtId="0" fontId="35" fillId="25" borderId="0" xfId="0" applyFont="1" applyFill="1" applyBorder="1" applyAlignment="1">
      <alignment horizontal="left" vertical="top" wrapText="1"/>
    </xf>
    <xf numFmtId="0" fontId="4" fillId="25" borderId="0" xfId="0" applyFont="1" applyFill="1" applyBorder="1" applyAlignment="1">
      <alignment horizontal="left" vertical="top" wrapText="1"/>
    </xf>
    <xf numFmtId="1" fontId="1" fillId="25" borderId="0" xfId="0" applyNumberFormat="1" applyFont="1" applyFill="1" applyBorder="1" applyAlignment="1">
      <alignment horizontal="left" vertical="top" wrapText="1"/>
    </xf>
    <xf numFmtId="3" fontId="1" fillId="33" borderId="0" xfId="0" applyNumberFormat="1" applyFont="1" applyFill="1" applyBorder="1" applyAlignment="1">
      <alignment horizontal="left" vertical="top" wrapText="1"/>
    </xf>
    <xf numFmtId="0" fontId="1" fillId="32" borderId="0" xfId="0" applyFont="1" applyFill="1" applyBorder="1" applyAlignment="1">
      <alignment horizontal="left" vertical="top" wrapText="1"/>
    </xf>
    <xf numFmtId="0" fontId="1" fillId="32" borderId="0" xfId="0" applyFont="1" applyFill="1" applyAlignment="1">
      <alignment horizontal="left" vertical="top" wrapText="1"/>
    </xf>
    <xf numFmtId="0" fontId="1" fillId="25" borderId="16" xfId="0" applyFont="1" applyFill="1" applyBorder="1" applyAlignment="1">
      <alignment horizontal="left" vertical="top"/>
    </xf>
    <xf numFmtId="0" fontId="31" fillId="32" borderId="0" xfId="0" applyFont="1" applyFill="1" applyBorder="1" applyAlignment="1">
      <alignment horizontal="left" vertical="top"/>
    </xf>
    <xf numFmtId="0" fontId="28" fillId="32" borderId="0" xfId="0" applyFont="1" applyFill="1" applyBorder="1" applyAlignment="1">
      <alignment horizontal="left" vertical="top"/>
    </xf>
    <xf numFmtId="3" fontId="1" fillId="32" borderId="0" xfId="0" applyNumberFormat="1" applyFont="1" applyFill="1" applyBorder="1" applyAlignment="1">
      <alignment horizontal="left" vertical="top" wrapText="1"/>
    </xf>
    <xf numFmtId="0" fontId="3" fillId="32" borderId="0" xfId="0" applyFont="1" applyFill="1" applyBorder="1" applyAlignment="1">
      <alignment horizontal="left" vertical="top"/>
    </xf>
    <xf numFmtId="0" fontId="4" fillId="33" borderId="0" xfId="0" applyFont="1" applyFill="1"/>
    <xf numFmtId="0" fontId="56" fillId="32" borderId="0" xfId="0" applyFont="1" applyFill="1"/>
    <xf numFmtId="0" fontId="58" fillId="33" borderId="0" xfId="0" applyFont="1" applyFill="1" applyAlignment="1">
      <alignment vertical="top" wrapText="1"/>
    </xf>
    <xf numFmtId="0" fontId="59" fillId="33" borderId="0" xfId="0" applyFont="1" applyFill="1" applyAlignment="1">
      <alignment vertical="top" wrapText="1"/>
    </xf>
    <xf numFmtId="0" fontId="59" fillId="32" borderId="0" xfId="0" applyFont="1" applyFill="1"/>
    <xf numFmtId="0" fontId="59" fillId="0" borderId="0" xfId="0" applyFont="1" applyAlignment="1">
      <alignment wrapText="1"/>
    </xf>
    <xf numFmtId="0" fontId="3" fillId="33" borderId="17" xfId="0" applyFont="1" applyFill="1" applyBorder="1"/>
    <xf numFmtId="0" fontId="1" fillId="33" borderId="0" xfId="0" applyFont="1" applyFill="1" applyBorder="1" applyAlignment="1" applyProtection="1">
      <alignment horizontal="left"/>
      <protection locked="0"/>
    </xf>
    <xf numFmtId="0" fontId="60" fillId="0" borderId="0" xfId="0" applyFont="1"/>
    <xf numFmtId="0" fontId="52" fillId="26" borderId="0" xfId="69" applyFont="1" applyFill="1" applyAlignment="1">
      <alignment horizontal="left" vertical="center" indent="1"/>
    </xf>
    <xf numFmtId="0" fontId="3" fillId="27" borderId="17" xfId="0" applyFont="1" applyFill="1" applyBorder="1" applyAlignment="1">
      <alignment horizontal="left" vertical="top"/>
    </xf>
    <xf numFmtId="0" fontId="3" fillId="33" borderId="0" xfId="0" applyFont="1" applyFill="1" applyBorder="1" applyAlignment="1">
      <alignment vertical="top" wrapText="1"/>
    </xf>
    <xf numFmtId="0" fontId="52" fillId="33" borderId="0" xfId="0" applyFont="1" applyFill="1" applyBorder="1" applyAlignment="1">
      <alignment horizontal="left" vertical="top"/>
    </xf>
    <xf numFmtId="0" fontId="3" fillId="28" borderId="0" xfId="0" applyFont="1" applyFill="1" applyBorder="1" applyAlignment="1">
      <alignment horizontal="left" vertical="top"/>
    </xf>
    <xf numFmtId="0" fontId="1" fillId="28" borderId="0" xfId="0" applyFont="1" applyFill="1" applyBorder="1" applyAlignment="1">
      <alignment horizontal="left" vertical="top"/>
    </xf>
    <xf numFmtId="0" fontId="1" fillId="31" borderId="15" xfId="0" applyFont="1" applyFill="1" applyBorder="1" applyAlignment="1" applyProtection="1">
      <alignment horizontal="left" vertical="top" wrapText="1"/>
      <protection locked="0"/>
    </xf>
    <xf numFmtId="0" fontId="1" fillId="33" borderId="0" xfId="0" applyFont="1" applyFill="1" applyBorder="1" applyAlignment="1" applyProtection="1">
      <alignment horizontal="left" vertical="top" wrapText="1"/>
      <protection locked="0"/>
    </xf>
    <xf numFmtId="167" fontId="1" fillId="33" borderId="0" xfId="0" applyNumberFormat="1" applyFont="1" applyFill="1" applyBorder="1" applyAlignment="1">
      <alignment horizontal="left" vertical="top"/>
    </xf>
    <xf numFmtId="0" fontId="49" fillId="32" borderId="0" xfId="0" applyFont="1" applyFill="1" applyBorder="1" applyAlignment="1">
      <alignment horizontal="left" vertical="top"/>
    </xf>
    <xf numFmtId="0" fontId="49" fillId="33" borderId="0" xfId="0" applyFont="1" applyFill="1" applyBorder="1" applyAlignment="1">
      <alignment horizontal="left" vertical="top"/>
    </xf>
    <xf numFmtId="0" fontId="1" fillId="28" borderId="0" xfId="0" applyFont="1" applyFill="1" applyBorder="1" applyAlignment="1">
      <alignment horizontal="left" vertical="top" wrapText="1"/>
    </xf>
    <xf numFmtId="0" fontId="3" fillId="29" borderId="0" xfId="0" applyFont="1" applyFill="1" applyBorder="1" applyAlignment="1">
      <alignment horizontal="left" vertical="top"/>
    </xf>
    <xf numFmtId="0" fontId="1" fillId="29" borderId="0" xfId="0" applyFont="1" applyFill="1" applyBorder="1" applyAlignment="1">
      <alignment horizontal="left" vertical="top"/>
    </xf>
    <xf numFmtId="0" fontId="3" fillId="30" borderId="0" xfId="0" applyFont="1" applyFill="1" applyBorder="1" applyAlignment="1">
      <alignment horizontal="left" vertical="top"/>
    </xf>
    <xf numFmtId="0" fontId="1" fillId="30" borderId="0" xfId="0" applyFont="1" applyFill="1" applyBorder="1" applyAlignment="1">
      <alignment horizontal="left" vertical="top"/>
    </xf>
    <xf numFmtId="0" fontId="52" fillId="33" borderId="17" xfId="0" applyFont="1" applyFill="1" applyBorder="1"/>
    <xf numFmtId="0" fontId="52" fillId="33" borderId="20" xfId="0" applyFont="1" applyFill="1" applyBorder="1"/>
    <xf numFmtId="0" fontId="1" fillId="33" borderId="20" xfId="0" applyFont="1" applyFill="1" applyBorder="1" applyAlignment="1">
      <alignment horizontal="left" vertical="top"/>
    </xf>
    <xf numFmtId="0" fontId="1" fillId="33" borderId="20" xfId="0" applyFont="1" applyFill="1" applyBorder="1"/>
    <xf numFmtId="0" fontId="63" fillId="34" borderId="0" xfId="0" applyFont="1" applyFill="1"/>
    <xf numFmtId="0" fontId="3" fillId="33" borderId="0" xfId="0" applyFont="1" applyFill="1" applyBorder="1" applyAlignment="1">
      <alignment horizontal="right" vertical="top"/>
    </xf>
    <xf numFmtId="0" fontId="1" fillId="33" borderId="0" xfId="0" applyFont="1" applyFill="1" applyBorder="1" applyAlignment="1">
      <alignment horizontal="right" vertical="top"/>
    </xf>
    <xf numFmtId="0" fontId="52" fillId="33" borderId="0" xfId="0" applyFont="1" applyFill="1" applyBorder="1" applyAlignment="1">
      <alignment horizontal="right" vertical="top"/>
    </xf>
    <xf numFmtId="167" fontId="1" fillId="33" borderId="0" xfId="0" applyNumberFormat="1" applyFont="1" applyFill="1" applyBorder="1" applyAlignment="1">
      <alignment horizontal="right" vertical="top"/>
    </xf>
    <xf numFmtId="167" fontId="3" fillId="33" borderId="0" xfId="0" applyNumberFormat="1" applyFont="1" applyFill="1" applyBorder="1" applyAlignment="1">
      <alignment horizontal="right" vertical="top"/>
    </xf>
    <xf numFmtId="0" fontId="1" fillId="33" borderId="0" xfId="0" applyFont="1" applyFill="1" applyAlignment="1">
      <alignment horizontal="right" vertical="top"/>
    </xf>
    <xf numFmtId="0" fontId="1" fillId="32" borderId="0" xfId="0" applyFont="1" applyFill="1" applyAlignment="1">
      <alignment horizontal="right" vertical="top"/>
    </xf>
    <xf numFmtId="0" fontId="1" fillId="33" borderId="13" xfId="0" applyFont="1" applyFill="1" applyBorder="1" applyAlignment="1">
      <alignment horizontal="right" vertical="top"/>
    </xf>
    <xf numFmtId="0" fontId="1" fillId="33" borderId="0" xfId="0" applyFont="1" applyFill="1" applyBorder="1" applyAlignment="1">
      <alignment horizontal="right" vertical="top" wrapText="1"/>
    </xf>
    <xf numFmtId="0" fontId="3" fillId="33" borderId="0" xfId="0" applyFont="1" applyFill="1" applyBorder="1" applyAlignment="1">
      <alignment horizontal="right" vertical="top" wrapText="1"/>
    </xf>
    <xf numFmtId="0" fontId="1" fillId="33" borderId="0" xfId="0" applyFont="1" applyFill="1" applyAlignment="1">
      <alignment horizontal="right" vertical="top" wrapText="1"/>
    </xf>
    <xf numFmtId="0" fontId="1" fillId="32" borderId="0" xfId="0" applyFont="1" applyFill="1" applyAlignment="1">
      <alignment horizontal="right" vertical="top" wrapText="1"/>
    </xf>
    <xf numFmtId="2" fontId="1" fillId="33" borderId="0" xfId="0" applyNumberFormat="1" applyFont="1" applyFill="1" applyBorder="1" applyAlignment="1">
      <alignment horizontal="left" vertical="top" wrapText="1"/>
    </xf>
    <xf numFmtId="0" fontId="1" fillId="26" borderId="0" xfId="0" applyFont="1" applyFill="1" applyBorder="1" applyAlignment="1">
      <alignment horizontal="left" vertical="top"/>
    </xf>
    <xf numFmtId="2" fontId="1" fillId="26" borderId="0" xfId="0" applyNumberFormat="1" applyFont="1" applyFill="1" applyBorder="1" applyAlignment="1">
      <alignment horizontal="left" vertical="top"/>
    </xf>
    <xf numFmtId="2" fontId="1" fillId="33" borderId="0" xfId="0" applyNumberFormat="1" applyFont="1" applyFill="1" applyBorder="1" applyAlignment="1">
      <alignment horizontal="right" vertical="top" wrapText="1"/>
    </xf>
    <xf numFmtId="0" fontId="52" fillId="33" borderId="0" xfId="0" applyFont="1" applyFill="1" applyBorder="1" applyAlignment="1">
      <alignment horizontal="right" vertical="top" wrapText="1"/>
    </xf>
    <xf numFmtId="0" fontId="52" fillId="32" borderId="0" xfId="0" applyFont="1" applyFill="1" applyBorder="1" applyAlignment="1">
      <alignment horizontal="left" vertical="top"/>
    </xf>
    <xf numFmtId="0" fontId="64" fillId="32" borderId="0" xfId="0" applyFont="1" applyFill="1" applyBorder="1" applyAlignment="1">
      <alignment horizontal="left" vertical="top"/>
    </xf>
    <xf numFmtId="0" fontId="52" fillId="33" borderId="0" xfId="0" applyFont="1" applyFill="1" applyBorder="1" applyAlignment="1">
      <alignment horizontal="left" vertical="top" wrapText="1"/>
    </xf>
    <xf numFmtId="166" fontId="4" fillId="33" borderId="0" xfId="0" applyNumberFormat="1" applyFont="1" applyFill="1" applyBorder="1" applyAlignment="1">
      <alignment horizontal="right" vertical="top"/>
    </xf>
    <xf numFmtId="0" fontId="65" fillId="32" borderId="0" xfId="0" applyFont="1" applyFill="1" applyBorder="1" applyAlignment="1">
      <alignment horizontal="left" vertical="top"/>
    </xf>
    <xf numFmtId="0" fontId="4" fillId="32" borderId="0" xfId="0" applyFont="1" applyFill="1" applyBorder="1" applyAlignment="1">
      <alignment horizontal="left" vertical="top"/>
    </xf>
    <xf numFmtId="0" fontId="36" fillId="32" borderId="0" xfId="0" applyFont="1" applyFill="1" applyBorder="1" applyAlignment="1">
      <alignment horizontal="left" vertical="top"/>
    </xf>
    <xf numFmtId="2" fontId="4" fillId="33" borderId="0" xfId="0" applyNumberFormat="1" applyFont="1" applyFill="1" applyBorder="1" applyAlignment="1">
      <alignment horizontal="right" vertical="top"/>
    </xf>
    <xf numFmtId="0" fontId="4" fillId="33" borderId="0" xfId="0" applyFont="1" applyFill="1" applyBorder="1" applyAlignment="1">
      <alignment horizontal="right" vertical="top"/>
    </xf>
    <xf numFmtId="0" fontId="36" fillId="33" borderId="0" xfId="0" applyFont="1" applyFill="1" applyBorder="1" applyAlignment="1">
      <alignment horizontal="right" vertical="top"/>
    </xf>
    <xf numFmtId="167" fontId="4" fillId="33" borderId="0" xfId="0" applyNumberFormat="1" applyFont="1" applyFill="1" applyBorder="1" applyAlignment="1">
      <alignment horizontal="right" vertical="top"/>
    </xf>
    <xf numFmtId="0" fontId="4" fillId="31" borderId="15" xfId="0" applyFont="1" applyFill="1" applyBorder="1" applyAlignment="1" applyProtection="1">
      <alignment horizontal="left" vertical="top" wrapText="1"/>
      <protection locked="0"/>
    </xf>
    <xf numFmtId="0" fontId="36" fillId="33" borderId="0" xfId="0" applyFont="1" applyFill="1" applyBorder="1" applyAlignment="1">
      <alignment horizontal="left" vertical="top" wrapText="1"/>
    </xf>
    <xf numFmtId="0" fontId="4" fillId="33" borderId="0" xfId="0" applyFont="1" applyFill="1" applyAlignment="1">
      <alignment horizontal="right" vertical="top"/>
    </xf>
    <xf numFmtId="2" fontId="4" fillId="33" borderId="0" xfId="0" applyNumberFormat="1" applyFont="1" applyFill="1" applyBorder="1" applyAlignment="1">
      <alignment horizontal="left" vertical="top"/>
    </xf>
    <xf numFmtId="0" fontId="4" fillId="33" borderId="0" xfId="0" applyFont="1" applyFill="1" applyBorder="1" applyAlignment="1">
      <alignment horizontal="right" vertical="top" wrapText="1"/>
    </xf>
    <xf numFmtId="0" fontId="4" fillId="31" borderId="15" xfId="0" applyFont="1" applyFill="1" applyBorder="1" applyAlignment="1" applyProtection="1">
      <alignment horizontal="right" vertical="top" wrapText="1"/>
      <protection locked="0"/>
    </xf>
    <xf numFmtId="0" fontId="36" fillId="33" borderId="0" xfId="0" applyFont="1" applyFill="1" applyBorder="1" applyAlignment="1">
      <alignment horizontal="right" vertical="top" wrapText="1"/>
    </xf>
    <xf numFmtId="0" fontId="4" fillId="33" borderId="0" xfId="0" applyFont="1" applyFill="1" applyAlignment="1">
      <alignment horizontal="left" vertical="top"/>
    </xf>
    <xf numFmtId="0" fontId="4" fillId="33" borderId="0" xfId="0" applyFont="1" applyFill="1" applyAlignment="1">
      <alignment horizontal="right" vertical="top" wrapText="1"/>
    </xf>
    <xf numFmtId="167" fontId="4" fillId="33" borderId="0" xfId="0" applyNumberFormat="1" applyFont="1" applyFill="1" applyAlignment="1">
      <alignment horizontal="right" vertical="top"/>
    </xf>
    <xf numFmtId="0" fontId="4" fillId="32" borderId="0" xfId="0" applyFont="1" applyFill="1" applyAlignment="1">
      <alignment horizontal="left" vertical="top"/>
    </xf>
    <xf numFmtId="0" fontId="4" fillId="33" borderId="0" xfId="0" applyFont="1" applyFill="1" applyBorder="1" applyAlignment="1" applyProtection="1">
      <alignment horizontal="left" vertical="top" wrapText="1"/>
      <protection locked="0"/>
    </xf>
    <xf numFmtId="0" fontId="36" fillId="33" borderId="0" xfId="0" applyFont="1" applyFill="1"/>
    <xf numFmtId="0" fontId="36" fillId="33" borderId="16" xfId="0" applyFont="1" applyFill="1" applyBorder="1"/>
    <xf numFmtId="0" fontId="36" fillId="32" borderId="0" xfId="0" applyFont="1" applyFill="1"/>
    <xf numFmtId="3" fontId="36" fillId="33" borderId="0" xfId="0" applyNumberFormat="1" applyFont="1" applyFill="1"/>
    <xf numFmtId="3" fontId="4" fillId="33" borderId="0" xfId="0" applyNumberFormat="1" applyFont="1" applyFill="1"/>
    <xf numFmtId="1" fontId="4" fillId="33" borderId="0" xfId="0" applyNumberFormat="1" applyFont="1" applyFill="1"/>
    <xf numFmtId="0" fontId="4" fillId="33" borderId="0" xfId="0" applyFont="1" applyFill="1" applyBorder="1"/>
    <xf numFmtId="0" fontId="4" fillId="33" borderId="14" xfId="0" applyFont="1" applyFill="1" applyBorder="1"/>
    <xf numFmtId="0" fontId="36" fillId="33" borderId="14" xfId="0" applyFont="1" applyFill="1" applyBorder="1"/>
    <xf numFmtId="2" fontId="4" fillId="33" borderId="0" xfId="0" applyNumberFormat="1" applyFont="1" applyFill="1"/>
    <xf numFmtId="0" fontId="36" fillId="33" borderId="0" xfId="0" applyFont="1" applyFill="1" applyBorder="1"/>
    <xf numFmtId="0" fontId="4" fillId="33" borderId="16" xfId="0" applyFont="1" applyFill="1" applyBorder="1"/>
    <xf numFmtId="1" fontId="3" fillId="33" borderId="0" xfId="0" applyNumberFormat="1" applyFont="1" applyFill="1" applyBorder="1" applyAlignment="1">
      <alignment horizontal="right" vertical="top"/>
    </xf>
    <xf numFmtId="0" fontId="1" fillId="33" borderId="0" xfId="0" applyFont="1" applyFill="1" applyBorder="1" applyAlignment="1">
      <alignment horizontal="left" vertical="top"/>
    </xf>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1" fontId="4" fillId="35" borderId="0" xfId="0" applyNumberFormat="1" applyFont="1" applyFill="1"/>
    <xf numFmtId="1" fontId="4" fillId="0" borderId="0" xfId="0" applyNumberFormat="1" applyFont="1" applyFill="1"/>
    <xf numFmtId="2" fontId="1" fillId="33" borderId="13" xfId="0" applyNumberFormat="1" applyFont="1" applyFill="1" applyBorder="1" applyAlignment="1">
      <alignment horizontal="right" vertical="top"/>
    </xf>
    <xf numFmtId="2" fontId="3" fillId="33" borderId="13" xfId="0" applyNumberFormat="1" applyFont="1" applyFill="1" applyBorder="1" applyAlignment="1">
      <alignment horizontal="right" vertical="top"/>
    </xf>
    <xf numFmtId="2" fontId="1" fillId="31" borderId="15" xfId="0" applyNumberFormat="1" applyFont="1" applyFill="1" applyBorder="1" applyAlignment="1" applyProtection="1">
      <alignment horizontal="right" vertical="top" wrapText="1"/>
      <protection locked="0"/>
    </xf>
    <xf numFmtId="2" fontId="3" fillId="33" borderId="0" xfId="0" applyNumberFormat="1" applyFont="1" applyFill="1" applyBorder="1" applyAlignment="1">
      <alignment horizontal="right" vertical="top" wrapText="1"/>
    </xf>
    <xf numFmtId="2" fontId="1" fillId="33" borderId="0" xfId="0" applyNumberFormat="1" applyFont="1" applyFill="1" applyAlignment="1">
      <alignment horizontal="right" wrapText="1"/>
    </xf>
    <xf numFmtId="2" fontId="36" fillId="33" borderId="0" xfId="0" applyNumberFormat="1" applyFont="1" applyFill="1" applyBorder="1" applyAlignment="1">
      <alignment horizontal="right" vertical="top"/>
    </xf>
    <xf numFmtId="168" fontId="4" fillId="33" borderId="0" xfId="0" applyNumberFormat="1" applyFont="1" applyFill="1" applyBorder="1" applyAlignment="1">
      <alignment horizontal="right" vertical="top"/>
    </xf>
    <xf numFmtId="2" fontId="65" fillId="32" borderId="0" xfId="0" applyNumberFormat="1" applyFont="1" applyFill="1" applyBorder="1" applyAlignment="1">
      <alignment horizontal="left" vertical="top"/>
    </xf>
    <xf numFmtId="2" fontId="4" fillId="32" borderId="0" xfId="0" applyNumberFormat="1" applyFont="1" applyFill="1" applyBorder="1" applyAlignment="1">
      <alignment horizontal="left" vertical="top"/>
    </xf>
    <xf numFmtId="2" fontId="1" fillId="32" borderId="0" xfId="0" applyNumberFormat="1" applyFont="1" applyFill="1" applyBorder="1" applyAlignment="1">
      <alignment horizontal="left" vertical="top"/>
    </xf>
    <xf numFmtId="2" fontId="28" fillId="32" borderId="0" xfId="0" applyNumberFormat="1" applyFont="1" applyFill="1" applyBorder="1" applyAlignment="1">
      <alignment horizontal="left" vertical="top"/>
    </xf>
    <xf numFmtId="2" fontId="3" fillId="32" borderId="0" xfId="0" applyNumberFormat="1" applyFont="1" applyFill="1" applyBorder="1" applyAlignment="1">
      <alignment horizontal="left" vertical="top"/>
    </xf>
    <xf numFmtId="166" fontId="65" fillId="32" borderId="0" xfId="0" applyNumberFormat="1" applyFont="1" applyFill="1" applyBorder="1" applyAlignment="1">
      <alignment horizontal="left" vertical="top"/>
    </xf>
    <xf numFmtId="166" fontId="4" fillId="32" borderId="0" xfId="0" applyNumberFormat="1" applyFont="1" applyFill="1" applyBorder="1" applyAlignment="1">
      <alignment horizontal="left" vertical="top"/>
    </xf>
    <xf numFmtId="2" fontId="4" fillId="0" borderId="0" xfId="0" applyNumberFormat="1" applyFont="1" applyFill="1" applyBorder="1" applyAlignment="1">
      <alignment horizontal="right" vertical="top"/>
    </xf>
    <xf numFmtId="166" fontId="4" fillId="0" borderId="0" xfId="0" applyNumberFormat="1" applyFont="1" applyFill="1" applyBorder="1" applyAlignment="1">
      <alignment horizontal="right" vertical="top"/>
    </xf>
    <xf numFmtId="0" fontId="1" fillId="0" borderId="0" xfId="0" applyFont="1" applyFill="1" applyBorder="1" applyAlignment="1">
      <alignment horizontal="left" vertical="top"/>
    </xf>
    <xf numFmtId="0" fontId="4" fillId="0" borderId="0" xfId="0" applyFont="1" applyFill="1"/>
    <xf numFmtId="0" fontId="36" fillId="0" borderId="0" xfId="0" applyFont="1" applyFill="1"/>
    <xf numFmtId="1" fontId="4" fillId="36" borderId="0" xfId="0" applyNumberFormat="1" applyFont="1" applyFill="1"/>
    <xf numFmtId="0" fontId="52" fillId="0" borderId="0" xfId="0" applyFont="1" applyFill="1" applyAlignment="1">
      <alignment horizontal="left" vertical="top"/>
    </xf>
    <xf numFmtId="0" fontId="52" fillId="0" borderId="0" xfId="0" applyFont="1" applyFill="1"/>
    <xf numFmtId="0" fontId="1" fillId="33" borderId="0" xfId="0" applyFont="1" applyFill="1" applyBorder="1" applyAlignment="1">
      <alignment horizontal="left" vertical="top" wrapText="1"/>
    </xf>
    <xf numFmtId="2" fontId="1" fillId="0" borderId="0" xfId="0" applyNumberFormat="1" applyFont="1" applyFill="1" applyBorder="1" applyAlignment="1" applyProtection="1">
      <alignment horizontal="right"/>
    </xf>
    <xf numFmtId="0" fontId="1" fillId="0" borderId="0" xfId="0" applyFont="1" applyFill="1" applyBorder="1"/>
    <xf numFmtId="0" fontId="4" fillId="0" borderId="0" xfId="0" applyFont="1" applyFill="1" applyBorder="1" applyAlignment="1">
      <alignment horizontal="left" vertical="top"/>
    </xf>
    <xf numFmtId="0" fontId="1" fillId="33" borderId="0" xfId="0" applyFont="1" applyFill="1" applyBorder="1" applyAlignment="1">
      <alignment horizontal="left" vertical="top"/>
    </xf>
    <xf numFmtId="2" fontId="1" fillId="25" borderId="0" xfId="0" applyNumberFormat="1" applyFont="1" applyFill="1" applyBorder="1" applyAlignment="1">
      <alignment horizontal="left" vertical="top" wrapText="1"/>
    </xf>
    <xf numFmtId="0" fontId="66" fillId="25" borderId="0" xfId="0" applyFont="1" applyFill="1" applyBorder="1" applyAlignment="1">
      <alignment horizontal="left" vertical="top" wrapText="1"/>
    </xf>
    <xf numFmtId="2" fontId="66" fillId="25" borderId="0" xfId="0" applyNumberFormat="1" applyFont="1" applyFill="1" applyBorder="1" applyAlignment="1">
      <alignment horizontal="left" vertical="top" wrapText="1"/>
    </xf>
    <xf numFmtId="15" fontId="66" fillId="25" borderId="0" xfId="0" applyNumberFormat="1" applyFont="1" applyFill="1" applyBorder="1" applyAlignment="1">
      <alignment horizontal="left" vertical="top" wrapText="1"/>
    </xf>
    <xf numFmtId="0" fontId="66" fillId="33" borderId="0" xfId="0" applyFont="1" applyFill="1"/>
    <xf numFmtId="0" fontId="66" fillId="33" borderId="0" xfId="0" applyFont="1" applyFill="1" applyBorder="1" applyAlignment="1">
      <alignment horizontal="left" vertical="top" wrapText="1"/>
    </xf>
    <xf numFmtId="2" fontId="1" fillId="33" borderId="0" xfId="0" applyNumberFormat="1" applyFont="1" applyFill="1" applyAlignment="1">
      <alignment horizontal="left" vertical="top"/>
    </xf>
    <xf numFmtId="2" fontId="4" fillId="25" borderId="0" xfId="0" applyNumberFormat="1" applyFont="1" applyFill="1" applyBorder="1" applyAlignment="1">
      <alignment horizontal="left" vertical="top"/>
    </xf>
    <xf numFmtId="2" fontId="66" fillId="33" borderId="0" xfId="0" applyNumberFormat="1" applyFont="1" applyFill="1" applyAlignment="1">
      <alignment horizontal="left" vertical="top" wrapText="1"/>
    </xf>
    <xf numFmtId="0" fontId="66" fillId="33" borderId="0" xfId="0" applyFont="1" applyFill="1" applyAlignment="1">
      <alignment horizontal="left" vertical="top"/>
    </xf>
    <xf numFmtId="0" fontId="36" fillId="0" borderId="0" xfId="0" applyFont="1" applyFill="1" applyAlignment="1">
      <alignment horizontal="left" vertical="top"/>
    </xf>
    <xf numFmtId="2" fontId="3" fillId="33" borderId="0" xfId="0" applyNumberFormat="1" applyFont="1" applyFill="1" applyBorder="1" applyAlignment="1">
      <alignment horizontal="left" vertical="top"/>
    </xf>
    <xf numFmtId="2" fontId="3" fillId="25" borderId="0" xfId="0" applyNumberFormat="1" applyFont="1" applyFill="1" applyBorder="1" applyAlignment="1">
      <alignment horizontal="left" vertical="top"/>
    </xf>
    <xf numFmtId="2" fontId="1" fillId="0" borderId="0" xfId="0" applyNumberFormat="1" applyFont="1" applyFill="1" applyBorder="1" applyAlignment="1">
      <alignment horizontal="left" vertical="top"/>
    </xf>
    <xf numFmtId="166" fontId="36" fillId="33" borderId="0" xfId="0" applyNumberFormat="1" applyFont="1" applyFill="1" applyBorder="1" applyAlignment="1">
      <alignment horizontal="left" vertical="top"/>
    </xf>
    <xf numFmtId="166" fontId="36" fillId="25" borderId="0" xfId="0" applyNumberFormat="1" applyFont="1" applyFill="1" applyBorder="1" applyAlignment="1">
      <alignment horizontal="left" vertical="top"/>
    </xf>
    <xf numFmtId="0" fontId="1" fillId="33" borderId="0" xfId="0" applyFont="1" applyFill="1" applyBorder="1" applyAlignment="1">
      <alignment horizontal="left" vertical="top" wrapText="1"/>
    </xf>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0" fontId="1" fillId="33" borderId="0" xfId="0" applyFont="1" applyFill="1" applyBorder="1" applyAlignment="1">
      <alignment horizontal="left" vertical="top"/>
    </xf>
    <xf numFmtId="1" fontId="36" fillId="25" borderId="0" xfId="0" applyNumberFormat="1" applyFont="1" applyFill="1" applyBorder="1" applyAlignment="1">
      <alignment horizontal="left" vertical="top"/>
    </xf>
    <xf numFmtId="2" fontId="36" fillId="0" borderId="0" xfId="0" applyNumberFormat="1" applyFont="1" applyFill="1" applyBorder="1" applyAlignment="1">
      <alignment horizontal="right" vertical="top"/>
    </xf>
    <xf numFmtId="0" fontId="49" fillId="33" borderId="0" xfId="132" applyFont="1" applyFill="1" applyAlignment="1">
      <alignment horizontal="left" vertical="top" wrapText="1" readingOrder="1"/>
    </xf>
    <xf numFmtId="0" fontId="1" fillId="26" borderId="0" xfId="0" applyFont="1" applyFill="1" applyBorder="1" applyAlignment="1">
      <alignment horizontal="right" vertical="top"/>
    </xf>
    <xf numFmtId="0" fontId="1" fillId="26" borderId="0" xfId="0" applyFont="1" applyFill="1" applyBorder="1" applyAlignment="1">
      <alignment horizontal="left" vertical="top" wrapText="1"/>
    </xf>
    <xf numFmtId="2" fontId="4" fillId="26" borderId="0" xfId="0" applyNumberFormat="1" applyFont="1" applyFill="1" applyBorder="1"/>
    <xf numFmtId="2" fontId="36" fillId="26" borderId="0" xfId="0" applyNumberFormat="1" applyFont="1" applyFill="1" applyBorder="1" applyAlignment="1">
      <alignment horizontal="left" vertical="top"/>
    </xf>
    <xf numFmtId="0" fontId="3" fillId="26" borderId="0" xfId="0" applyFont="1" applyFill="1" applyBorder="1" applyAlignment="1">
      <alignment horizontal="left" vertical="top"/>
    </xf>
    <xf numFmtId="2" fontId="3" fillId="26" borderId="0" xfId="0" applyNumberFormat="1" applyFont="1" applyFill="1" applyBorder="1" applyAlignment="1">
      <alignment horizontal="left" vertical="top"/>
    </xf>
    <xf numFmtId="0" fontId="3" fillId="26" borderId="0" xfId="0" applyFont="1" applyFill="1" applyBorder="1" applyAlignment="1">
      <alignment horizontal="left" vertical="top" wrapText="1"/>
    </xf>
    <xf numFmtId="0" fontId="3" fillId="27" borderId="17" xfId="0" applyFont="1" applyFill="1" applyBorder="1" applyAlignment="1">
      <alignment horizontal="left" vertical="top" wrapText="1"/>
    </xf>
    <xf numFmtId="0" fontId="3" fillId="26" borderId="17" xfId="0" applyFont="1" applyFill="1" applyBorder="1" applyAlignment="1">
      <alignment horizontal="left" vertical="top"/>
    </xf>
    <xf numFmtId="0" fontId="37" fillId="33" borderId="17" xfId="0" applyFont="1" applyFill="1" applyBorder="1" applyAlignment="1">
      <alignment horizontal="left" vertical="top"/>
    </xf>
    <xf numFmtId="0" fontId="3" fillId="33" borderId="0" xfId="0" applyFont="1" applyFill="1" applyBorder="1" applyAlignment="1">
      <alignment horizontal="left" vertical="top"/>
    </xf>
    <xf numFmtId="0" fontId="1" fillId="33" borderId="0" xfId="0" applyFont="1" applyFill="1" applyBorder="1" applyAlignment="1">
      <alignment horizontal="left" vertical="top" wrapText="1"/>
    </xf>
    <xf numFmtId="0" fontId="1" fillId="33" borderId="0" xfId="0" applyFont="1" applyFill="1" applyBorder="1" applyAlignment="1">
      <alignment horizontal="left" vertical="top"/>
    </xf>
    <xf numFmtId="2" fontId="4" fillId="26" borderId="0" xfId="0" applyNumberFormat="1" applyFont="1" applyFill="1" applyBorder="1" applyAlignment="1">
      <alignment horizontal="right" vertical="top"/>
    </xf>
    <xf numFmtId="2" fontId="4" fillId="26" borderId="0" xfId="0" applyNumberFormat="1" applyFont="1" applyFill="1"/>
    <xf numFmtId="2" fontId="4" fillId="33" borderId="0" xfId="0" applyNumberFormat="1" applyFont="1" applyFill="1" applyBorder="1"/>
    <xf numFmtId="1" fontId="4" fillId="26" borderId="0" xfId="0" applyNumberFormat="1" applyFont="1" applyFill="1"/>
    <xf numFmtId="1" fontId="1" fillId="33" borderId="0" xfId="0" applyNumberFormat="1" applyFont="1" applyFill="1" applyBorder="1" applyProtection="1">
      <protection locked="0"/>
    </xf>
    <xf numFmtId="0" fontId="1" fillId="26" borderId="0" xfId="0" applyFont="1" applyFill="1"/>
    <xf numFmtId="3" fontId="51" fillId="26" borderId="0" xfId="134" applyNumberFormat="1" applyFont="1" applyFill="1" applyBorder="1" applyAlignment="1" applyProtection="1">
      <alignment vertical="center"/>
      <protection locked="0"/>
    </xf>
    <xf numFmtId="0" fontId="41" fillId="26" borderId="0" xfId="133" applyFill="1" applyAlignment="1" applyProtection="1">
      <alignment vertical="center"/>
      <protection locked="0"/>
    </xf>
    <xf numFmtId="0" fontId="41" fillId="26" borderId="0" xfId="133" applyFill="1" applyBorder="1" applyAlignment="1" applyProtection="1">
      <alignment vertical="center"/>
      <protection locked="0"/>
    </xf>
    <xf numFmtId="2" fontId="1" fillId="33" borderId="0" xfId="0" applyNumberFormat="1" applyFont="1" applyFill="1"/>
    <xf numFmtId="1" fontId="4" fillId="37" borderId="0" xfId="0" applyNumberFormat="1" applyFont="1" applyFill="1"/>
    <xf numFmtId="0" fontId="1" fillId="33" borderId="0" xfId="0" applyFont="1" applyFill="1" applyBorder="1" applyAlignment="1">
      <alignment horizontal="left" vertical="top" wrapText="1"/>
    </xf>
    <xf numFmtId="0" fontId="52" fillId="33" borderId="0" xfId="0" applyFont="1" applyFill="1" applyAlignment="1">
      <alignment vertical="top" wrapText="1"/>
    </xf>
    <xf numFmtId="0" fontId="59" fillId="33" borderId="0" xfId="0" applyFont="1" applyFill="1" applyAlignment="1">
      <alignment horizontal="left" vertical="top" wrapText="1"/>
    </xf>
    <xf numFmtId="0" fontId="1" fillId="31" borderId="21" xfId="0" applyFont="1" applyFill="1" applyBorder="1" applyAlignment="1" applyProtection="1">
      <alignment horizontal="left" vertical="top" wrapText="1"/>
      <protection locked="0"/>
    </xf>
    <xf numFmtId="2" fontId="1" fillId="38" borderId="15" xfId="0" applyNumberFormat="1" applyFont="1" applyFill="1" applyBorder="1" applyAlignment="1" applyProtection="1">
      <alignment horizontal="right" wrapText="1"/>
      <protection locked="0"/>
    </xf>
    <xf numFmtId="0" fontId="1" fillId="38" borderId="15" xfId="0" applyFont="1" applyFill="1" applyBorder="1" applyAlignment="1" applyProtection="1">
      <alignment horizontal="left" vertical="top" wrapText="1"/>
      <protection locked="0"/>
    </xf>
    <xf numFmtId="0" fontId="57" fillId="33" borderId="0" xfId="133" applyFont="1" applyFill="1" applyAlignment="1" applyProtection="1">
      <alignment vertical="top" wrapText="1"/>
      <protection locked="0"/>
    </xf>
    <xf numFmtId="0" fontId="59" fillId="33" borderId="0" xfId="0" applyFont="1" applyFill="1" applyAlignment="1" applyProtection="1">
      <alignment vertical="top" wrapText="1"/>
      <protection locked="0"/>
    </xf>
    <xf numFmtId="0" fontId="41" fillId="33" borderId="0" xfId="133" applyFill="1" applyAlignment="1" applyProtection="1">
      <alignment vertical="top" wrapText="1"/>
      <protection locked="0"/>
    </xf>
    <xf numFmtId="0" fontId="1" fillId="33" borderId="0" xfId="0" applyFont="1" applyFill="1" applyAlignment="1">
      <alignment wrapText="1"/>
    </xf>
    <xf numFmtId="0" fontId="1" fillId="32" borderId="0" xfId="0" applyFont="1" applyFill="1" applyBorder="1" applyAlignment="1">
      <alignment wrapText="1"/>
    </xf>
    <xf numFmtId="0" fontId="1" fillId="30" borderId="0" xfId="0" applyFont="1" applyFill="1" applyBorder="1" applyAlignment="1" applyProtection="1">
      <alignment wrapText="1"/>
      <protection locked="0"/>
    </xf>
    <xf numFmtId="0" fontId="1" fillId="32" borderId="0" xfId="0" applyFont="1" applyFill="1" applyAlignment="1">
      <alignment wrapText="1"/>
    </xf>
    <xf numFmtId="0" fontId="1" fillId="33" borderId="0" xfId="0" applyFont="1" applyFill="1" applyBorder="1" applyAlignment="1">
      <alignment horizontal="left" vertical="top" wrapText="1"/>
    </xf>
    <xf numFmtId="4" fontId="4" fillId="33" borderId="0" xfId="0" applyNumberFormat="1" applyFont="1" applyFill="1" applyAlignment="1">
      <alignment horizontal="right" vertical="top"/>
    </xf>
    <xf numFmtId="0" fontId="4" fillId="26" borderId="0" xfId="0" applyFont="1" applyFill="1" applyBorder="1" applyAlignment="1" applyProtection="1">
      <alignment horizontal="right" vertical="top" wrapText="1"/>
      <protection locked="0"/>
    </xf>
    <xf numFmtId="0" fontId="4" fillId="26" borderId="0" xfId="0" applyFont="1" applyFill="1" applyBorder="1" applyAlignment="1">
      <alignment horizontal="left" vertical="top"/>
    </xf>
    <xf numFmtId="0" fontId="4" fillId="26" borderId="0" xfId="0" applyFont="1" applyFill="1" applyBorder="1" applyAlignment="1" applyProtection="1">
      <alignment horizontal="left" vertical="top" wrapText="1"/>
      <protection locked="0"/>
    </xf>
    <xf numFmtId="2" fontId="4" fillId="33" borderId="0" xfId="0" applyNumberFormat="1" applyFont="1" applyFill="1" applyAlignment="1">
      <alignment horizontal="left" vertical="top"/>
    </xf>
    <xf numFmtId="2" fontId="4" fillId="33" borderId="0" xfId="0" applyNumberFormat="1" applyFont="1" applyFill="1" applyAlignment="1">
      <alignment horizontal="right" vertical="top"/>
    </xf>
    <xf numFmtId="166" fontId="65" fillId="32" borderId="0" xfId="0" applyNumberFormat="1" applyFont="1" applyFill="1" applyAlignment="1">
      <alignment horizontal="left" vertical="top"/>
    </xf>
    <xf numFmtId="0" fontId="3" fillId="33" borderId="0" xfId="0" applyFont="1" applyFill="1" applyBorder="1" applyAlignment="1">
      <alignment horizontal="left" vertical="top"/>
    </xf>
    <xf numFmtId="1" fontId="1" fillId="26" borderId="0" xfId="0" applyNumberFormat="1" applyFont="1" applyFill="1" applyBorder="1" applyAlignment="1">
      <alignment horizontal="left" vertical="top"/>
    </xf>
    <xf numFmtId="0" fontId="0" fillId="0" borderId="0" xfId="0" applyFill="1"/>
    <xf numFmtId="0" fontId="1" fillId="39" borderId="0" xfId="0" applyFont="1" applyFill="1" applyBorder="1" applyAlignment="1">
      <alignment horizontal="left" vertical="top"/>
    </xf>
    <xf numFmtId="0" fontId="0" fillId="39" borderId="0" xfId="0" applyFill="1"/>
    <xf numFmtId="166" fontId="4" fillId="33" borderId="0" xfId="0" applyNumberFormat="1" applyFont="1" applyFill="1"/>
    <xf numFmtId="14" fontId="4" fillId="26" borderId="0" xfId="69" quotePrefix="1" applyNumberFormat="1" applyFont="1" applyFill="1" applyAlignment="1">
      <alignment horizontal="left" vertical="center"/>
    </xf>
    <xf numFmtId="14" fontId="4" fillId="26" borderId="0" xfId="69" applyNumberFormat="1" applyFont="1" applyFill="1" applyAlignment="1">
      <alignment vertical="center"/>
    </xf>
    <xf numFmtId="169" fontId="4" fillId="33" borderId="0" xfId="0" applyNumberFormat="1" applyFont="1" applyFill="1" applyBorder="1" applyAlignment="1">
      <alignment horizontal="right" vertical="top"/>
    </xf>
    <xf numFmtId="0" fontId="49" fillId="26" borderId="0" xfId="69" applyFont="1" applyFill="1" applyAlignment="1">
      <alignment vertical="center" wrapText="1"/>
    </xf>
    <xf numFmtId="0" fontId="53" fillId="26" borderId="0" xfId="132" applyFont="1" applyFill="1"/>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0" fontId="49" fillId="33" borderId="0" xfId="132" applyFont="1" applyFill="1" applyAlignment="1">
      <alignment vertical="top" wrapText="1"/>
    </xf>
    <xf numFmtId="2" fontId="1" fillId="33" borderId="0" xfId="0" applyNumberFormat="1" applyFont="1" applyFill="1" applyAlignment="1">
      <alignment horizontal="left" vertical="top" wrapText="1"/>
    </xf>
    <xf numFmtId="2" fontId="1" fillId="33" borderId="0" xfId="0" applyNumberFormat="1" applyFont="1" applyFill="1" applyAlignment="1">
      <alignment horizontal="right" vertical="top" wrapText="1"/>
    </xf>
    <xf numFmtId="2" fontId="1" fillId="25" borderId="0" xfId="0" applyNumberFormat="1" applyFont="1" applyFill="1" applyAlignment="1">
      <alignment horizontal="left" vertical="top"/>
    </xf>
    <xf numFmtId="2" fontId="1" fillId="26" borderId="0" xfId="0" applyNumberFormat="1" applyFont="1" applyFill="1" applyAlignment="1">
      <alignment horizontal="left" vertical="top"/>
    </xf>
    <xf numFmtId="0" fontId="4" fillId="25" borderId="0" xfId="0" applyFont="1" applyFill="1" applyBorder="1"/>
    <xf numFmtId="0" fontId="1" fillId="30" borderId="0" xfId="0" applyFont="1" applyFill="1" applyBorder="1" applyAlignment="1" applyProtection="1">
      <alignment horizontal="right"/>
      <protection locked="0"/>
    </xf>
    <xf numFmtId="0" fontId="1" fillId="30" borderId="0" xfId="0" applyFont="1" applyFill="1" applyBorder="1" applyAlignment="1" applyProtection="1">
      <alignment horizontal="left" vertical="top" wrapText="1"/>
      <protection locked="0"/>
    </xf>
    <xf numFmtId="0" fontId="1" fillId="33" borderId="0" xfId="0" applyFont="1" applyFill="1" applyBorder="1" applyAlignment="1">
      <alignment horizontal="left" vertical="top" wrapText="1"/>
    </xf>
    <xf numFmtId="0" fontId="3" fillId="33" borderId="0" xfId="0" applyFont="1" applyFill="1" applyBorder="1" applyAlignment="1">
      <alignment horizontal="center" vertical="center"/>
    </xf>
    <xf numFmtId="0" fontId="4" fillId="33" borderId="0" xfId="0" applyFont="1" applyFill="1" applyAlignment="1">
      <alignment horizontal="left" vertical="top" wrapText="1"/>
    </xf>
    <xf numFmtId="0" fontId="52" fillId="33" borderId="0" xfId="0" applyFont="1" applyFill="1" applyBorder="1" applyAlignment="1">
      <alignment horizontal="center" vertical="top"/>
    </xf>
    <xf numFmtId="0" fontId="3" fillId="33" borderId="0" xfId="0" applyFont="1" applyFill="1" applyBorder="1" applyAlignment="1">
      <alignment horizontal="left" vertical="top"/>
    </xf>
    <xf numFmtId="0" fontId="1" fillId="26" borderId="0" xfId="0" applyFont="1" applyFill="1" applyBorder="1" applyAlignment="1">
      <alignment horizontal="left" vertical="center" wrapText="1"/>
    </xf>
    <xf numFmtId="0" fontId="52" fillId="33" borderId="0" xfId="0" applyFont="1" applyFill="1" applyAlignment="1">
      <alignment horizontal="center" vertical="top"/>
    </xf>
    <xf numFmtId="0" fontId="52" fillId="33" borderId="0" xfId="0" applyFont="1" applyFill="1" applyBorder="1" applyAlignment="1">
      <alignment horizontal="center"/>
    </xf>
    <xf numFmtId="0" fontId="1" fillId="33" borderId="0" xfId="0" applyFont="1" applyFill="1" applyBorder="1" applyAlignment="1">
      <alignment horizontal="center" vertical="top" wrapText="1"/>
    </xf>
    <xf numFmtId="0" fontId="3" fillId="33" borderId="0" xfId="0" applyFont="1" applyFill="1" applyBorder="1" applyAlignment="1">
      <alignment horizontal="left" vertical="top" wrapText="1"/>
    </xf>
    <xf numFmtId="0" fontId="1" fillId="30" borderId="0" xfId="0" applyFont="1" applyFill="1" applyBorder="1" applyAlignment="1" applyProtection="1">
      <alignment horizontal="left"/>
      <protection locked="0"/>
    </xf>
    <xf numFmtId="0" fontId="1" fillId="30" borderId="0" xfId="0" applyFont="1" applyFill="1" applyBorder="1" applyAlignment="1" applyProtection="1">
      <alignment horizontal="center"/>
      <protection locked="0"/>
    </xf>
    <xf numFmtId="0" fontId="3" fillId="33" borderId="0" xfId="0" applyFont="1" applyFill="1" applyBorder="1" applyAlignment="1">
      <alignment horizontal="center" vertical="top" wrapText="1"/>
    </xf>
    <xf numFmtId="0" fontId="0" fillId="0" borderId="0" xfId="0" applyAlignment="1">
      <alignment horizontal="left" vertical="top" wrapText="1"/>
    </xf>
    <xf numFmtId="3" fontId="41" fillId="26" borderId="0" xfId="133" applyNumberFormat="1" applyFill="1" applyBorder="1" applyAlignment="1" applyProtection="1">
      <alignment vertical="center"/>
      <protection locked="0"/>
    </xf>
  </cellXfs>
  <cellStyles count="135">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2x indented GHG Textfiels" xfId="9" xr:uid="{00000000-0005-0000-0000-000006000000}"/>
    <cellStyle name="40% - Akzent1" xfId="10" xr:uid="{00000000-0005-0000-0000-000007000000}"/>
    <cellStyle name="40% - Akzent2" xfId="11" xr:uid="{00000000-0005-0000-0000-000008000000}"/>
    <cellStyle name="40% - Akzent3" xfId="12" xr:uid="{00000000-0005-0000-0000-000009000000}"/>
    <cellStyle name="40% - Akzent4" xfId="13" xr:uid="{00000000-0005-0000-0000-00000A000000}"/>
    <cellStyle name="40% - Akzent5" xfId="14" xr:uid="{00000000-0005-0000-0000-00000B000000}"/>
    <cellStyle name="40% - Akzent6" xfId="15" xr:uid="{00000000-0005-0000-0000-00000C000000}"/>
    <cellStyle name="60% - Akzent1" xfId="16" xr:uid="{00000000-0005-0000-0000-00000D000000}"/>
    <cellStyle name="60% - Akzent2" xfId="17" xr:uid="{00000000-0005-0000-0000-00000E000000}"/>
    <cellStyle name="60% - Akzent3" xfId="18" xr:uid="{00000000-0005-0000-0000-00000F000000}"/>
    <cellStyle name="60% - Akzent4" xfId="19" xr:uid="{00000000-0005-0000-0000-000010000000}"/>
    <cellStyle name="60% - Akzent5" xfId="20" xr:uid="{00000000-0005-0000-0000-000011000000}"/>
    <cellStyle name="60% - Akzent6" xfId="21" xr:uid="{00000000-0005-0000-0000-000012000000}"/>
    <cellStyle name="Akzent1 2" xfId="22" xr:uid="{00000000-0005-0000-0000-000013000000}"/>
    <cellStyle name="Akzent2 2" xfId="23" xr:uid="{00000000-0005-0000-0000-000014000000}"/>
    <cellStyle name="Akzent3 2" xfId="24" xr:uid="{00000000-0005-0000-0000-000015000000}"/>
    <cellStyle name="Akzent4 2" xfId="25" xr:uid="{00000000-0005-0000-0000-000016000000}"/>
    <cellStyle name="Akzent5 2" xfId="26" xr:uid="{00000000-0005-0000-0000-000017000000}"/>
    <cellStyle name="Akzent6 2" xfId="27" xr:uid="{00000000-0005-0000-0000-000018000000}"/>
    <cellStyle name="Ausgabe 2" xfId="28" xr:uid="{00000000-0005-0000-0000-000019000000}"/>
    <cellStyle name="Berechnung 2" xfId="29" xr:uid="{00000000-0005-0000-0000-00001A000000}"/>
    <cellStyle name="Besuchter Hyperlink" xfId="79" builtinId="9" hidden="1"/>
    <cellStyle name="Besuchter Hyperlink" xfId="81" builtinId="9" hidden="1"/>
    <cellStyle name="Besuchter Hyperlink" xfId="83" builtinId="9" hidden="1"/>
    <cellStyle name="Besuchter Hyperlink" xfId="85" builtinId="9" hidden="1"/>
    <cellStyle name="Besuchter Hyperlink" xfId="87" builtinId="9" hidden="1"/>
    <cellStyle name="Besuchter Hyperlink" xfId="89" builtinId="9" hidden="1"/>
    <cellStyle name="Besuchter Hyperlink" xfId="91" builtinId="9" hidden="1"/>
    <cellStyle name="Besuchter Hyperlink" xfId="93" builtinId="9" hidden="1"/>
    <cellStyle name="Besuchter Hyperlink" xfId="95" builtinId="9" hidden="1"/>
    <cellStyle name="Besuchter Hyperlink" xfId="97" builtinId="9" hidden="1"/>
    <cellStyle name="Besuchter Hyperlink" xfId="99" builtinId="9" hidden="1"/>
    <cellStyle name="Besuchter Hyperlink" xfId="101" builtinId="9" hidden="1"/>
    <cellStyle name="Besuchter Hyperlink" xfId="103" builtinId="9" hidden="1"/>
    <cellStyle name="Besuchter Hyperlink" xfId="105" builtinId="9" hidden="1"/>
    <cellStyle name="Besuchter Hyperlink" xfId="107" builtinId="9" hidden="1"/>
    <cellStyle name="Besuchter Hyperlink" xfId="109" builtinId="9" hidden="1"/>
    <cellStyle name="Besuchter Hyperlink" xfId="111" builtinId="9" hidden="1"/>
    <cellStyle name="Besuchter Hyperlink" xfId="113" builtinId="9" hidden="1"/>
    <cellStyle name="Besuchter Hyperlink" xfId="115" builtinId="9" hidden="1"/>
    <cellStyle name="Besuchter Hyperlink" xfId="117" builtinId="9" hidden="1"/>
    <cellStyle name="Besuchter Hyperlink" xfId="119" builtinId="9" hidden="1"/>
    <cellStyle name="Besuchter Hyperlink" xfId="121" builtinId="9" hidden="1"/>
    <cellStyle name="Besuchter Hyperlink" xfId="123" builtinId="9" hidden="1"/>
    <cellStyle name="Besuchter Hyperlink" xfId="125" builtinId="9" hidden="1"/>
    <cellStyle name="Besuchter Hyperlink" xfId="127" builtinId="9" hidden="1"/>
    <cellStyle name="Besuchter Hyperlink" xfId="129" builtinId="9" hidden="1"/>
    <cellStyle name="Besuchter Hyperlink" xfId="131" builtinId="9" hidden="1"/>
    <cellStyle name="Bold GHG Numbers (0.00)" xfId="30" xr:uid="{00000000-0005-0000-0000-000036000000}"/>
    <cellStyle name="Comma [0]" xfId="31" xr:uid="{00000000-0005-0000-0000-000037000000}"/>
    <cellStyle name="Comma [0] 2" xfId="32" xr:uid="{00000000-0005-0000-0000-000038000000}"/>
    <cellStyle name="Comma [0] 2 2" xfId="33" xr:uid="{00000000-0005-0000-0000-000039000000}"/>
    <cellStyle name="Comma [0] 3" xfId="34" xr:uid="{00000000-0005-0000-0000-00003A000000}"/>
    <cellStyle name="Currency [0]" xfId="35" xr:uid="{00000000-0005-0000-0000-00003B000000}"/>
    <cellStyle name="Currency [0] 2" xfId="36" xr:uid="{00000000-0005-0000-0000-00003C000000}"/>
    <cellStyle name="Currency [0] 2 2" xfId="37" xr:uid="{00000000-0005-0000-0000-00003D000000}"/>
    <cellStyle name="Currency [0] 3" xfId="38" xr:uid="{00000000-0005-0000-0000-00003E000000}"/>
    <cellStyle name="Dezimal 2" xfId="39" xr:uid="{00000000-0005-0000-0000-00003F000000}"/>
    <cellStyle name="Eingabe 2" xfId="40" xr:uid="{00000000-0005-0000-0000-000040000000}"/>
    <cellStyle name="Ergebnis 2" xfId="41" xr:uid="{00000000-0005-0000-0000-000041000000}"/>
    <cellStyle name="Erklärender Text 2" xfId="42" xr:uid="{00000000-0005-0000-0000-000042000000}"/>
    <cellStyle name="Gut 2" xfId="43" xr:uid="{00000000-0005-0000-0000-000043000000}"/>
    <cellStyle name="Hyperlink 2" xfId="44" xr:uid="{00000000-0005-0000-0000-000060000000}"/>
    <cellStyle name="Hyperlink 2 2" xfId="45" xr:uid="{00000000-0005-0000-0000-000061000000}"/>
    <cellStyle name="Komma 2" xfId="46" xr:uid="{00000000-0005-0000-0000-000062000000}"/>
    <cellStyle name="Link" xfId="78" builtinId="8" hidden="1"/>
    <cellStyle name="Link" xfId="80" builtinId="8" hidden="1"/>
    <cellStyle name="Link" xfId="82" builtinId="8" hidden="1"/>
    <cellStyle name="Link" xfId="84" builtinId="8" hidden="1"/>
    <cellStyle name="Link" xfId="86" builtinId="8" hidden="1"/>
    <cellStyle name="Link" xfId="88" builtinId="8" hidden="1"/>
    <cellStyle name="Link" xfId="90" builtinId="8" hidden="1"/>
    <cellStyle name="Link" xfId="92" builtinId="8" hidden="1"/>
    <cellStyle name="Link" xfId="94" builtinId="8" hidden="1"/>
    <cellStyle name="Link" xfId="96" builtinId="8" hidden="1"/>
    <cellStyle name="Link" xfId="98" builtinId="8" hidden="1"/>
    <cellStyle name="Link" xfId="100" builtinId="8" hidden="1"/>
    <cellStyle name="Link" xfId="102" builtinId="8" hidden="1"/>
    <cellStyle name="Link" xfId="104" builtinId="8" hidden="1"/>
    <cellStyle name="Link" xfId="106" builtinId="8" hidden="1"/>
    <cellStyle name="Link" xfId="108" builtinId="8" hidden="1"/>
    <cellStyle name="Link" xfId="110" builtinId="8" hidden="1"/>
    <cellStyle name="Link" xfId="112" builtinId="8" hidden="1"/>
    <cellStyle name="Link" xfId="114" builtinId="8" hidden="1"/>
    <cellStyle name="Link" xfId="116" builtinId="8" hidden="1"/>
    <cellStyle name="Link" xfId="118" builtinId="8" hidden="1"/>
    <cellStyle name="Link" xfId="120" builtinId="8" hidden="1"/>
    <cellStyle name="Link" xfId="122" builtinId="8" hidden="1"/>
    <cellStyle name="Link" xfId="124" builtinId="8" hidden="1"/>
    <cellStyle name="Link" xfId="126" builtinId="8" hidden="1"/>
    <cellStyle name="Link" xfId="128" builtinId="8" hidden="1"/>
    <cellStyle name="Link" xfId="130" builtinId="8" hidden="1"/>
    <cellStyle name="Link" xfId="133" builtinId="8"/>
    <cellStyle name="Link 2" xfId="134" xr:uid="{00000000-0005-0000-0000-000063000000}"/>
    <cellStyle name="Neutral 2" xfId="47" xr:uid="{00000000-0005-0000-0000-000064000000}"/>
    <cellStyle name="Normal GHG Numbers (0.00)" xfId="48" xr:uid="{00000000-0005-0000-0000-000065000000}"/>
    <cellStyle name="Normal GHG-Shade" xfId="49" xr:uid="{00000000-0005-0000-0000-000066000000}"/>
    <cellStyle name="Notiz 2" xfId="50" xr:uid="{00000000-0005-0000-0000-000067000000}"/>
    <cellStyle name="Prozent 2" xfId="2" xr:uid="{00000000-0005-0000-0000-000068000000}"/>
    <cellStyle name="Prozent 2 2" xfId="51" xr:uid="{00000000-0005-0000-0000-000069000000}"/>
    <cellStyle name="Schlecht 2" xfId="52" xr:uid="{00000000-0005-0000-0000-00006A000000}"/>
    <cellStyle name="Standard" xfId="0" builtinId="0"/>
    <cellStyle name="Standard 10" xfId="132" xr:uid="{00000000-0005-0000-0000-00006C000000}"/>
    <cellStyle name="Standard 2" xfId="53" xr:uid="{00000000-0005-0000-0000-00006D000000}"/>
    <cellStyle name="Standard 2 2" xfId="54" xr:uid="{00000000-0005-0000-0000-00006E000000}"/>
    <cellStyle name="Standard 2 2 2" xfId="55" xr:uid="{00000000-0005-0000-0000-00006F000000}"/>
    <cellStyle name="Standard 2 3" xfId="56" xr:uid="{00000000-0005-0000-0000-000070000000}"/>
    <cellStyle name="Standard 3" xfId="57" xr:uid="{00000000-0005-0000-0000-000071000000}"/>
    <cellStyle name="Standard 3 2" xfId="58" xr:uid="{00000000-0005-0000-0000-000072000000}"/>
    <cellStyle name="Standard 4" xfId="59" xr:uid="{00000000-0005-0000-0000-000073000000}"/>
    <cellStyle name="Standard 4 2" xfId="60" xr:uid="{00000000-0005-0000-0000-000074000000}"/>
    <cellStyle name="Standard 4 2 2" xfId="61" xr:uid="{00000000-0005-0000-0000-000075000000}"/>
    <cellStyle name="Standard 4 3" xfId="62" xr:uid="{00000000-0005-0000-0000-000076000000}"/>
    <cellStyle name="Standard 5" xfId="63" xr:uid="{00000000-0005-0000-0000-000077000000}"/>
    <cellStyle name="Standard 6" xfId="64" xr:uid="{00000000-0005-0000-0000-000078000000}"/>
    <cellStyle name="Standard 6 2" xfId="65" xr:uid="{00000000-0005-0000-0000-000079000000}"/>
    <cellStyle name="Standard 7" xfId="1" xr:uid="{00000000-0005-0000-0000-00007A000000}"/>
    <cellStyle name="Standard 7 2" xfId="66" xr:uid="{00000000-0005-0000-0000-00007B000000}"/>
    <cellStyle name="Standard 8" xfId="67" xr:uid="{00000000-0005-0000-0000-00007C000000}"/>
    <cellStyle name="Standard 8 2" xfId="68" xr:uid="{00000000-0005-0000-0000-00007D000000}"/>
    <cellStyle name="Standard 9" xfId="69" xr:uid="{00000000-0005-0000-0000-00007E000000}"/>
    <cellStyle name="Überschrift 1 2" xfId="70" xr:uid="{00000000-0005-0000-0000-00007F000000}"/>
    <cellStyle name="Überschrift 2 2" xfId="71" xr:uid="{00000000-0005-0000-0000-000080000000}"/>
    <cellStyle name="Überschrift 3 2" xfId="72" xr:uid="{00000000-0005-0000-0000-000081000000}"/>
    <cellStyle name="Überschrift 4 2" xfId="73" xr:uid="{00000000-0005-0000-0000-000082000000}"/>
    <cellStyle name="Überschrift 5" xfId="74" xr:uid="{00000000-0005-0000-0000-000083000000}"/>
    <cellStyle name="Verknüpfte Zelle 2" xfId="75" xr:uid="{00000000-0005-0000-0000-000084000000}"/>
    <cellStyle name="Warnender Text 2" xfId="76" xr:uid="{00000000-0005-0000-0000-000085000000}"/>
    <cellStyle name="Zelle überprüfen 2" xfId="77" xr:uid="{00000000-0005-0000-0000-000086000000}"/>
  </cellStyles>
  <dxfs count="7">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Medium9"/>
  <colors>
    <mruColors>
      <color rgb="FF2FAC66"/>
      <color rgb="FF72AFC8"/>
      <color rgb="FF48A8AE"/>
      <color rgb="FF527489"/>
      <color rgb="FF70BE79"/>
      <color rgb="FF9ABBCA"/>
      <color rgb="FF88BB3C"/>
      <color rgb="FF6A6C74"/>
      <color rgb="FF61749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3975364510544"/>
          <c:y val="4.5226111111111113E-2"/>
          <c:w val="0.8010585920283646"/>
          <c:h val="0.71843424007209344"/>
        </c:manualLayout>
      </c:layout>
      <c:barChart>
        <c:barDir val="col"/>
        <c:grouping val="clustered"/>
        <c:varyColors val="0"/>
        <c:ser>
          <c:idx val="0"/>
          <c:order val="0"/>
          <c:tx>
            <c:strRef>
              <c:f>'Chart table'!$C$39</c:f>
              <c:strCache>
                <c:ptCount val="1"/>
                <c:pt idx="0">
                  <c:v>DRI Pellets Iron ore Hydrogen Natural gas Electricity</c:v>
                </c:pt>
              </c:strCache>
            </c:strRef>
          </c:tx>
          <c:spPr>
            <a:pattFill prst="pct80">
              <a:fgClr>
                <a:schemeClr val="accent2"/>
              </a:fgClr>
              <a:bgClr>
                <a:schemeClr val="bg1"/>
              </a:bgClr>
            </a:pattFill>
          </c:spPr>
          <c:invertIfNegative val="0"/>
          <c:dLbls>
            <c:dLbl>
              <c:idx val="0"/>
              <c:spPr/>
              <c:txPr>
                <a:bodyPr/>
                <a:lstStyle/>
                <a:p>
                  <a:pPr>
                    <a:defRPr sz="1200" b="1">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0-B5AC-4340-899C-0C32DD843F0D}"/>
                </c:ext>
              </c:extLst>
            </c:dLbl>
            <c:dLbl>
              <c:idx val="1"/>
              <c:spPr/>
              <c:txPr>
                <a:bodyPr/>
                <a:lstStyle/>
                <a:p>
                  <a:pPr>
                    <a:defRPr sz="1200" b="1">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1-B5AC-4340-899C-0C32DD843F0D}"/>
                </c:ext>
              </c:extLst>
            </c:dLbl>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table'!$E$33:$F$33</c:f>
              <c:strCache>
                <c:ptCount val="2"/>
                <c:pt idx="0">
                  <c:v>DRI-EAF_NG</c:v>
                </c:pt>
                <c:pt idx="1">
                  <c:v>DRI-EAF_H2</c:v>
                </c:pt>
              </c:strCache>
            </c:strRef>
          </c:cat>
          <c:val>
            <c:numRef>
              <c:f>'Chart table'!$E$39:$F$39</c:f>
              <c:numCache>
                <c:formatCode>0</c:formatCode>
                <c:ptCount val="2"/>
                <c:pt idx="0">
                  <c:v>169.47081147140472</c:v>
                </c:pt>
                <c:pt idx="1">
                  <c:v>239.9978052427295</c:v>
                </c:pt>
              </c:numCache>
            </c:numRef>
          </c:val>
          <c:extLst>
            <c:ext xmlns:c16="http://schemas.microsoft.com/office/drawing/2014/chart" uri="{C3380CC4-5D6E-409C-BE32-E72D297353CC}">
              <c16:uniqueId val="{00000002-574F-4B4D-AB4A-8985AF97B51A}"/>
            </c:ext>
          </c:extLst>
        </c:ser>
        <c:dLbls>
          <c:showLegendKey val="0"/>
          <c:showVal val="0"/>
          <c:showCatName val="0"/>
          <c:showSerName val="0"/>
          <c:showPercent val="0"/>
          <c:showBubbleSize val="0"/>
        </c:dLbls>
        <c:gapWidth val="100"/>
        <c:axId val="219452928"/>
        <c:axId val="219475968"/>
      </c:barChart>
      <c:catAx>
        <c:axId val="219452928"/>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19475968"/>
        <c:crosses val="autoZero"/>
        <c:auto val="1"/>
        <c:lblAlgn val="ctr"/>
        <c:lblOffset val="100"/>
        <c:noMultiLvlLbl val="0"/>
      </c:catAx>
      <c:valAx>
        <c:axId val="2194759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Kostendifferenz </a:t>
                </a:r>
              </a:p>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€/tCO2-Minderung</a:t>
                </a:r>
              </a:p>
            </c:rich>
          </c:tx>
          <c:layout>
            <c:manualLayout>
              <c:xMode val="edge"/>
              <c:yMode val="edge"/>
              <c:x val="2.1117704126525725E-3"/>
              <c:y val="0.21182189070099602"/>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19452928"/>
        <c:crosses val="autoZero"/>
        <c:crossBetween val="between"/>
      </c:valAx>
      <c:spPr>
        <a:noFill/>
        <a:ln>
          <a:noFill/>
        </a:ln>
        <a:effectLst/>
      </c:spPr>
    </c:plotArea>
    <c:legend>
      <c:legendPos val="b"/>
      <c:layout>
        <c:manualLayout>
          <c:xMode val="edge"/>
          <c:yMode val="edge"/>
          <c:x val="1.2115563992398321E-2"/>
          <c:y val="0.85854295042586881"/>
          <c:w val="0.9276121839849959"/>
          <c:h val="0.11035967702777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3718749999997"/>
          <c:y val="4.5226111111111113E-2"/>
          <c:w val="0.81214968750000005"/>
          <c:h val="0.77812527777777774"/>
        </c:manualLayout>
      </c:layout>
      <c:areaChart>
        <c:grouping val="stacked"/>
        <c:varyColors val="0"/>
        <c:ser>
          <c:idx val="0"/>
          <c:order val="0"/>
          <c:tx>
            <c:strRef>
              <c:f>'Chart table'!$C$44</c:f>
              <c:strCache>
                <c:ptCount val="1"/>
                <c:pt idx="0">
                  <c:v>CAPEX</c:v>
                </c:pt>
              </c:strCache>
            </c:strRef>
          </c:tx>
          <c:spPr>
            <a:solidFill>
              <a:srgbClr val="72AFC8"/>
            </a:solidFill>
            <a:ln>
              <a:noFill/>
            </a:ln>
            <a:effectLst/>
          </c:spPr>
          <c:cat>
            <c:numRef>
              <c:f>'Chart table'!$D$43:$E$43</c:f>
              <c:numCache>
                <c:formatCode>0</c:formatCode>
                <c:ptCount val="2"/>
                <c:pt idx="0">
                  <c:v>0</c:v>
                </c:pt>
                <c:pt idx="1">
                  <c:v>123.72585344944696</c:v>
                </c:pt>
              </c:numCache>
            </c:numRef>
          </c:cat>
          <c:val>
            <c:numRef>
              <c:f>'Chart table'!$D$44:$E$44</c:f>
              <c:numCache>
                <c:formatCode>0</c:formatCode>
                <c:ptCount val="2"/>
                <c:pt idx="0">
                  <c:v>62.875555555555565</c:v>
                </c:pt>
                <c:pt idx="1">
                  <c:v>62.875555555555565</c:v>
                </c:pt>
              </c:numCache>
            </c:numRef>
          </c:val>
          <c:extLst>
            <c:ext xmlns:c16="http://schemas.microsoft.com/office/drawing/2014/chart" uri="{C3380CC4-5D6E-409C-BE32-E72D297353CC}">
              <c16:uniqueId val="{00000000-37E0-4B7D-915E-3B2671A1C28A}"/>
            </c:ext>
          </c:extLst>
        </c:ser>
        <c:ser>
          <c:idx val="1"/>
          <c:order val="1"/>
          <c:tx>
            <c:strRef>
              <c:f>'Chart table'!$C$45</c:f>
              <c:strCache>
                <c:ptCount val="1"/>
                <c:pt idx="0">
                  <c:v>OPEX</c:v>
                </c:pt>
              </c:strCache>
            </c:strRef>
          </c:tx>
          <c:spPr>
            <a:solidFill>
              <a:srgbClr val="2FAC66"/>
            </a:solidFill>
            <a:ln>
              <a:noFill/>
            </a:ln>
            <a:effectLst/>
          </c:spPr>
          <c:cat>
            <c:numRef>
              <c:f>'Chart table'!$D$43:$E$43</c:f>
              <c:numCache>
                <c:formatCode>0</c:formatCode>
                <c:ptCount val="2"/>
                <c:pt idx="0">
                  <c:v>0</c:v>
                </c:pt>
                <c:pt idx="1">
                  <c:v>123.72585344944696</c:v>
                </c:pt>
              </c:numCache>
            </c:numRef>
          </c:cat>
          <c:val>
            <c:numRef>
              <c:f>'Chart table'!$D$45:$E$45</c:f>
              <c:numCache>
                <c:formatCode>0</c:formatCode>
                <c:ptCount val="2"/>
                <c:pt idx="0">
                  <c:v>86.131613948728386</c:v>
                </c:pt>
                <c:pt idx="1">
                  <c:v>-62.875555555555565</c:v>
                </c:pt>
              </c:numCache>
            </c:numRef>
          </c:val>
          <c:extLst>
            <c:ext xmlns:c16="http://schemas.microsoft.com/office/drawing/2014/chart" uri="{C3380CC4-5D6E-409C-BE32-E72D297353CC}">
              <c16:uniqueId val="{00000001-37E0-4B7D-915E-3B2671A1C28A}"/>
            </c:ext>
          </c:extLst>
        </c:ser>
        <c:ser>
          <c:idx val="2"/>
          <c:order val="2"/>
          <c:tx>
            <c:strRef>
              <c:f>'Chart table'!$C$46</c:f>
              <c:strCache>
                <c:ptCount val="1"/>
                <c:pt idx="0">
                  <c:v>Free allocation</c:v>
                </c:pt>
              </c:strCache>
            </c:strRef>
          </c:tx>
          <c:spPr>
            <a:solidFill>
              <a:srgbClr val="527489"/>
            </a:solidFill>
            <a:ln>
              <a:noFill/>
            </a:ln>
            <a:effectLst/>
          </c:spPr>
          <c:cat>
            <c:numRef>
              <c:f>'Chart table'!$D$43:$E$43</c:f>
              <c:numCache>
                <c:formatCode>0</c:formatCode>
                <c:ptCount val="2"/>
                <c:pt idx="0">
                  <c:v>0</c:v>
                </c:pt>
                <c:pt idx="1">
                  <c:v>123.72585344944696</c:v>
                </c:pt>
              </c:numCache>
            </c:numRef>
          </c:cat>
          <c:val>
            <c:numRef>
              <c:f>'Chart table'!$D$46:$E$46</c:f>
              <c:numCache>
                <c:formatCode>0</c:formatCode>
                <c:ptCount val="2"/>
                <c:pt idx="0">
                  <c:v>0</c:v>
                </c:pt>
                <c:pt idx="1">
                  <c:v>124.05660623127355</c:v>
                </c:pt>
              </c:numCache>
            </c:numRef>
          </c:val>
          <c:extLst>
            <c:ext xmlns:c16="http://schemas.microsoft.com/office/drawing/2014/chart" uri="{C3380CC4-5D6E-409C-BE32-E72D297353CC}">
              <c16:uniqueId val="{00000002-37E0-4B7D-915E-3B2671A1C28A}"/>
            </c:ext>
          </c:extLst>
        </c:ser>
        <c:dLbls>
          <c:showLegendKey val="0"/>
          <c:showVal val="0"/>
          <c:showCatName val="0"/>
          <c:showSerName val="0"/>
          <c:showPercent val="0"/>
          <c:showBubbleSize val="0"/>
        </c:dLbls>
        <c:axId val="230837248"/>
        <c:axId val="234259584"/>
      </c:areaChart>
      <c:catAx>
        <c:axId val="230837248"/>
        <c:scaling>
          <c:orientation val="minMax"/>
        </c:scaling>
        <c:delete val="0"/>
        <c:axPos val="b"/>
        <c:majorGridlines>
          <c:spPr>
            <a:ln w="9525" cap="flat" cmpd="sng" algn="ctr">
              <a:solidFill>
                <a:schemeClr val="bg1"/>
              </a:solidFill>
              <a:round/>
            </a:ln>
            <a:effectLst/>
          </c:spPr>
        </c:majorGridlines>
        <c:title>
          <c:tx>
            <c:rich>
              <a:bodyPr/>
              <a:lstStyle/>
              <a:p>
                <a:pPr>
                  <a:defRPr/>
                </a:pPr>
                <a:r>
                  <a:rPr lang="de-DE"/>
                  <a:t>EUA Preis [€/EUA]</a:t>
                </a:r>
              </a:p>
            </c:rich>
          </c:tx>
          <c:layout>
            <c:manualLayout>
              <c:xMode val="edge"/>
              <c:yMode val="edge"/>
              <c:x val="0.47578816923250644"/>
              <c:y val="0.83666577599058511"/>
            </c:manualLayout>
          </c:layout>
          <c:overlay val="0"/>
        </c:title>
        <c:numFmt formatCode="0"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34259584"/>
        <c:crosses val="autoZero"/>
        <c:auto val="1"/>
        <c:lblAlgn val="ctr"/>
        <c:lblOffset val="100"/>
        <c:tickLblSkip val="1"/>
        <c:tickMarkSkip val="1"/>
        <c:noMultiLvlLbl val="0"/>
      </c:catAx>
      <c:valAx>
        <c:axId val="23425958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DE" sz="1000" b="1" i="0" u="none" strike="noStrike" baseline="0">
                    <a:solidFill>
                      <a:sysClr val="windowText" lastClr="000000"/>
                    </a:solidFill>
                    <a:effectLst/>
                  </a:rPr>
                  <a:t>Mehrkosten €/t Rohstahl</a:t>
                </a:r>
                <a:endParaRPr lang="de-DE" sz="10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30837248"/>
        <c:crosses val="autoZero"/>
        <c:crossBetween val="midCat"/>
      </c:valAx>
      <c:spPr>
        <a:noFill/>
        <a:ln>
          <a:noFill/>
        </a:ln>
        <a:effectLst/>
      </c:spPr>
    </c:plotArea>
    <c:legend>
      <c:legendPos val="b"/>
      <c:layout>
        <c:manualLayout>
          <c:xMode val="edge"/>
          <c:yMode val="edge"/>
          <c:x val="0.28666609940639198"/>
          <c:y val="0.89671194513435337"/>
          <c:w val="0.48435513222868992"/>
          <c:h val="9.43331099342505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111111111113E-2"/>
          <c:w val="0.82810906040268462"/>
          <c:h val="0.71843424007209344"/>
        </c:manualLayout>
      </c:layout>
      <c:barChart>
        <c:barDir val="col"/>
        <c:grouping val="stacked"/>
        <c:varyColors val="0"/>
        <c:ser>
          <c:idx val="0"/>
          <c:order val="0"/>
          <c:tx>
            <c:strRef>
              <c:f>'Chart table'!$C$29</c:f>
              <c:strCache>
                <c:ptCount val="1"/>
                <c:pt idx="0">
                  <c:v>CAPEX</c:v>
                </c:pt>
              </c:strCache>
            </c:strRef>
          </c:tx>
          <c:spPr>
            <a:solidFill>
              <a:srgbClr val="72AFC8"/>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table'!$E$26:$F$26</c:f>
              <c:strCache>
                <c:ptCount val="2"/>
                <c:pt idx="0">
                  <c:v>DRI-EAF_NG</c:v>
                </c:pt>
                <c:pt idx="1">
                  <c:v>DRI-EAF_H2</c:v>
                </c:pt>
              </c:strCache>
            </c:strRef>
          </c:cat>
          <c:val>
            <c:numRef>
              <c:f>'Chart table'!$E$29:$F$29</c:f>
              <c:numCache>
                <c:formatCode>0</c:formatCode>
                <c:ptCount val="2"/>
                <c:pt idx="0">
                  <c:v>52.20776824430299</c:v>
                </c:pt>
                <c:pt idx="1">
                  <c:v>38.868032550523793</c:v>
                </c:pt>
              </c:numCache>
            </c:numRef>
          </c:val>
          <c:extLst>
            <c:ext xmlns:c16="http://schemas.microsoft.com/office/drawing/2014/chart" uri="{C3380CC4-5D6E-409C-BE32-E72D297353CC}">
              <c16:uniqueId val="{00000000-B5FA-42CA-AD7B-141B06D761E0}"/>
            </c:ext>
          </c:extLst>
        </c:ser>
        <c:ser>
          <c:idx val="1"/>
          <c:order val="1"/>
          <c:tx>
            <c:strRef>
              <c:f>'Chart table'!$C$30</c:f>
              <c:strCache>
                <c:ptCount val="1"/>
                <c:pt idx="0">
                  <c:v>OPEX (without EUA costs)</c:v>
                </c:pt>
              </c:strCache>
            </c:strRef>
          </c:tx>
          <c:spPr>
            <a:solidFill>
              <a:srgbClr val="2FAC66"/>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table'!$E$26:$F$26</c:f>
              <c:strCache>
                <c:ptCount val="2"/>
                <c:pt idx="0">
                  <c:v>DRI-EAF_NG</c:v>
                </c:pt>
                <c:pt idx="1">
                  <c:v>DRI-EAF_H2</c:v>
                </c:pt>
              </c:strCache>
            </c:strRef>
          </c:cat>
          <c:val>
            <c:numRef>
              <c:f>'Chart table'!$E$30:$F$30</c:f>
              <c:numCache>
                <c:formatCode>0</c:formatCode>
                <c:ptCount val="2"/>
                <c:pt idx="0">
                  <c:v>71.518085205143976</c:v>
                </c:pt>
                <c:pt idx="1">
                  <c:v>167.07322177626386</c:v>
                </c:pt>
              </c:numCache>
            </c:numRef>
          </c:val>
          <c:extLst>
            <c:ext xmlns:c16="http://schemas.microsoft.com/office/drawing/2014/chart" uri="{C3380CC4-5D6E-409C-BE32-E72D297353CC}">
              <c16:uniqueId val="{00000001-B5FA-42CA-AD7B-141B06D761E0}"/>
            </c:ext>
          </c:extLst>
        </c:ser>
        <c:dLbls>
          <c:showLegendKey val="0"/>
          <c:showVal val="0"/>
          <c:showCatName val="0"/>
          <c:showSerName val="0"/>
          <c:showPercent val="0"/>
          <c:showBubbleSize val="0"/>
        </c:dLbls>
        <c:gapWidth val="100"/>
        <c:overlap val="100"/>
        <c:axId val="242320512"/>
        <c:axId val="242340608"/>
      </c:barChart>
      <c:catAx>
        <c:axId val="24232051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42340608"/>
        <c:crosses val="autoZero"/>
        <c:auto val="1"/>
        <c:lblAlgn val="ctr"/>
        <c:lblOffset val="100"/>
        <c:noMultiLvlLbl val="0"/>
      </c:catAx>
      <c:valAx>
        <c:axId val="2423406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CO2-Minderungskosten (€/tCO2)</a:t>
                </a:r>
              </a:p>
            </c:rich>
          </c:tx>
          <c:layout>
            <c:manualLayout>
              <c:xMode val="edge"/>
              <c:yMode val="edge"/>
              <c:x val="3.8809629963664202E-2"/>
              <c:y val="0.10401211635375064"/>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42320512"/>
        <c:crosses val="autoZero"/>
        <c:crossBetween val="between"/>
      </c:valAx>
      <c:spPr>
        <a:noFill/>
        <a:ln>
          <a:noFill/>
        </a:ln>
        <a:effectLst/>
      </c:spPr>
    </c:plotArea>
    <c:legend>
      <c:legendPos val="b"/>
      <c:layout>
        <c:manualLayout>
          <c:xMode val="edge"/>
          <c:yMode val="edge"/>
          <c:x val="1.2115591779305162E-2"/>
          <c:y val="0.86938963185014551"/>
          <c:w val="0.569218235271994"/>
          <c:h val="8.4505768425529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9048460918"/>
          <c:y val="6.9500524511223377E-2"/>
          <c:w val="0.82810906040268462"/>
          <c:h val="0.71843424007209344"/>
        </c:manualLayout>
      </c:layout>
      <c:barChart>
        <c:barDir val="col"/>
        <c:grouping val="stacked"/>
        <c:varyColors val="0"/>
        <c:ser>
          <c:idx val="0"/>
          <c:order val="0"/>
          <c:tx>
            <c:strRef>
              <c:f>'Chart table'!$C$9</c:f>
              <c:strCache>
                <c:ptCount val="1"/>
                <c:pt idx="0">
                  <c:v>CAPEX</c:v>
                </c:pt>
              </c:strCache>
            </c:strRef>
          </c:tx>
          <c:spPr>
            <a:solidFill>
              <a:srgbClr val="72AFC8"/>
            </a:solidFill>
            <a:ln>
              <a:noFill/>
            </a:ln>
            <a:effectLst/>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table'!$D$8:$F$8</c:f>
              <c:strCache>
                <c:ptCount val="3"/>
                <c:pt idx="0">
                  <c:v>Blast furnace route</c:v>
                </c:pt>
                <c:pt idx="1">
                  <c:v>DRI-EAF_NG</c:v>
                </c:pt>
                <c:pt idx="2">
                  <c:v>DRI-EAF_H2</c:v>
                </c:pt>
              </c:strCache>
            </c:strRef>
          </c:cat>
          <c:val>
            <c:numRef>
              <c:f>'Chart table'!$D$9:$F$9</c:f>
              <c:numCache>
                <c:formatCode>#,##0</c:formatCode>
                <c:ptCount val="3"/>
                <c:pt idx="0">
                  <c:v>16.244444444444444</c:v>
                </c:pt>
                <c:pt idx="1">
                  <c:v>79.12</c:v>
                </c:pt>
                <c:pt idx="2">
                  <c:v>79.12</c:v>
                </c:pt>
              </c:numCache>
            </c:numRef>
          </c:val>
          <c:extLst>
            <c:ext xmlns:c16="http://schemas.microsoft.com/office/drawing/2014/chart" uri="{C3380CC4-5D6E-409C-BE32-E72D297353CC}">
              <c16:uniqueId val="{00000000-03E3-435C-9CF3-5825191EEB92}"/>
            </c:ext>
          </c:extLst>
        </c:ser>
        <c:ser>
          <c:idx val="1"/>
          <c:order val="1"/>
          <c:tx>
            <c:strRef>
              <c:f>'Chart table'!$C$10</c:f>
              <c:strCache>
                <c:ptCount val="1"/>
                <c:pt idx="0">
                  <c:v>OPEX (without EUA costs)</c:v>
                </c:pt>
              </c:strCache>
            </c:strRef>
          </c:tx>
          <c:spPr>
            <a:solidFill>
              <a:srgbClr val="2FAC66"/>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table'!$D$8:$F$8</c:f>
              <c:strCache>
                <c:ptCount val="3"/>
                <c:pt idx="0">
                  <c:v>Blast furnace route</c:v>
                </c:pt>
                <c:pt idx="1">
                  <c:v>DRI-EAF_NG</c:v>
                </c:pt>
                <c:pt idx="2">
                  <c:v>DRI-EAF_H2</c:v>
                </c:pt>
              </c:strCache>
            </c:strRef>
          </c:cat>
          <c:val>
            <c:numRef>
              <c:f>'Chart table'!$D$10:$F$10</c:f>
              <c:numCache>
                <c:formatCode>#,##0</c:formatCode>
                <c:ptCount val="3"/>
                <c:pt idx="0">
                  <c:v>398.10400578811374</c:v>
                </c:pt>
                <c:pt idx="1">
                  <c:v>484.23561973684212</c:v>
                </c:pt>
                <c:pt idx="2">
                  <c:v>668.37293756345184</c:v>
                </c:pt>
              </c:numCache>
            </c:numRef>
          </c:val>
          <c:extLst>
            <c:ext xmlns:c16="http://schemas.microsoft.com/office/drawing/2014/chart" uri="{C3380CC4-5D6E-409C-BE32-E72D297353CC}">
              <c16:uniqueId val="{00000000-16A4-4108-8E27-4C980B633AD4}"/>
            </c:ext>
          </c:extLst>
        </c:ser>
        <c:ser>
          <c:idx val="2"/>
          <c:order val="2"/>
          <c:tx>
            <c:strRef>
              <c:f>'Chart table'!$C$11</c:f>
              <c:strCache>
                <c:ptCount val="1"/>
                <c:pt idx="0">
                  <c:v>EUA costs (at 100€/EUA)</c:v>
                </c:pt>
              </c:strCache>
            </c:strRef>
          </c:tx>
          <c:spPr>
            <a:solidFill>
              <a:srgbClr val="527489"/>
            </a:solidFill>
          </c:spPr>
          <c:invertIfNegative val="0"/>
          <c:dLbls>
            <c:spPr>
              <a:noFill/>
              <a:ln>
                <a:noFill/>
              </a:ln>
              <a:effectLst/>
            </c:spPr>
            <c:txPr>
              <a:bodyPr/>
              <a:lstStyle/>
              <a:p>
                <a:pPr>
                  <a:defRPr sz="105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table'!$D$8:$F$8</c:f>
              <c:strCache>
                <c:ptCount val="3"/>
                <c:pt idx="0">
                  <c:v>Blast furnace route</c:v>
                </c:pt>
                <c:pt idx="1">
                  <c:v>DRI-EAF_NG</c:v>
                </c:pt>
                <c:pt idx="2">
                  <c:v>DRI-EAF_H2</c:v>
                </c:pt>
              </c:strCache>
            </c:strRef>
          </c:cat>
          <c:val>
            <c:numRef>
              <c:f>'Chart table'!$D$11:$F$11</c:f>
              <c:numCache>
                <c:formatCode>#,##0</c:formatCode>
                <c:ptCount val="3"/>
                <c:pt idx="0">
                  <c:v>22.092000000000013</c:v>
                </c:pt>
                <c:pt idx="1">
                  <c:v>4.6342567558335048</c:v>
                </c:pt>
                <c:pt idx="2">
                  <c:v>-0.90295725370399715</c:v>
                </c:pt>
              </c:numCache>
            </c:numRef>
          </c:val>
          <c:extLst>
            <c:ext xmlns:c16="http://schemas.microsoft.com/office/drawing/2014/chart" uri="{C3380CC4-5D6E-409C-BE32-E72D297353CC}">
              <c16:uniqueId val="{00000001-16A4-4108-8E27-4C980B633AD4}"/>
            </c:ext>
          </c:extLst>
        </c:ser>
        <c:dLbls>
          <c:showLegendKey val="0"/>
          <c:showVal val="0"/>
          <c:showCatName val="0"/>
          <c:showSerName val="0"/>
          <c:showPercent val="0"/>
          <c:showBubbleSize val="0"/>
        </c:dLbls>
        <c:gapWidth val="100"/>
        <c:overlap val="100"/>
        <c:axId val="146141184"/>
        <c:axId val="146142720"/>
      </c:barChart>
      <c:catAx>
        <c:axId val="146141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6142720"/>
        <c:crosses val="autoZero"/>
        <c:auto val="1"/>
        <c:lblAlgn val="ctr"/>
        <c:lblOffset val="100"/>
        <c:noMultiLvlLbl val="0"/>
      </c:catAx>
      <c:valAx>
        <c:axId val="14614272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 Rohstahl</a:t>
                </a:r>
              </a:p>
            </c:rich>
          </c:tx>
          <c:layout>
            <c:manualLayout>
              <c:xMode val="edge"/>
              <c:yMode val="edge"/>
              <c:x val="1.8826172945113989E-2"/>
              <c:y val="0.29750579749463435"/>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6141184"/>
        <c:crosses val="autoZero"/>
        <c:crossBetween val="between"/>
      </c:valAx>
      <c:spPr>
        <a:noFill/>
        <a:ln>
          <a:noFill/>
        </a:ln>
        <a:effectLst/>
      </c:spPr>
    </c:plotArea>
    <c:legend>
      <c:legendPos val="b"/>
      <c:layout>
        <c:manualLayout>
          <c:xMode val="edge"/>
          <c:yMode val="edge"/>
          <c:x val="1.2115638349085795E-2"/>
          <c:y val="0.83870166790588607"/>
          <c:w val="0.96404016267818737"/>
          <c:h val="0.144113888210456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111111111113E-2"/>
          <c:w val="0.82810906040268462"/>
          <c:h val="0.74884867781297348"/>
        </c:manualLayout>
      </c:layout>
      <c:barChart>
        <c:barDir val="col"/>
        <c:grouping val="stacked"/>
        <c:varyColors val="0"/>
        <c:ser>
          <c:idx val="9"/>
          <c:order val="0"/>
          <c:tx>
            <c:strRef>
              <c:f>'Chart table'!$C$22</c:f>
              <c:strCache>
                <c:ptCount val="1"/>
                <c:pt idx="0">
                  <c:v>General operating coasts</c:v>
                </c:pt>
              </c:strCache>
            </c:strRef>
          </c:tx>
          <c:spPr>
            <a:solidFill>
              <a:schemeClr val="accent3">
                <a:lumMod val="20000"/>
                <a:lumOff val="80000"/>
              </a:schemeClr>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'Chart table'!$D$22:$F$22</c:f>
              <c:numCache>
                <c:formatCode>0</c:formatCode>
                <c:ptCount val="3"/>
                <c:pt idx="0">
                  <c:v>38.487333333333332</c:v>
                </c:pt>
                <c:pt idx="1">
                  <c:v>40.373600000000003</c:v>
                </c:pt>
                <c:pt idx="2">
                  <c:v>40.373600000000003</c:v>
                </c:pt>
              </c:numCache>
            </c:numRef>
          </c:val>
          <c:extLst>
            <c:ext xmlns:c16="http://schemas.microsoft.com/office/drawing/2014/chart" uri="{C3380CC4-5D6E-409C-BE32-E72D297353CC}">
              <c16:uniqueId val="{0000000D-87A4-456B-B423-11D4935C5E5D}"/>
            </c:ext>
          </c:extLst>
        </c:ser>
        <c:ser>
          <c:idx val="0"/>
          <c:order val="1"/>
          <c:tx>
            <c:strRef>
              <c:f>'Chart table'!$C$16</c:f>
              <c:strCache>
                <c:ptCount val="1"/>
                <c:pt idx="0">
                  <c:v>Iron ore</c:v>
                </c:pt>
              </c:strCache>
            </c:strRef>
          </c:tx>
          <c:spPr>
            <a:solidFill>
              <a:schemeClr val="accent6"/>
            </a:solidFill>
            <a:effectLst/>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table'!$D$15:$F$15</c:f>
              <c:strCache>
                <c:ptCount val="3"/>
                <c:pt idx="0">
                  <c:v>Blast furnace route</c:v>
                </c:pt>
                <c:pt idx="1">
                  <c:v>DRI-EAF_NG</c:v>
                </c:pt>
                <c:pt idx="2">
                  <c:v>DRI-EAF_H2</c:v>
                </c:pt>
              </c:strCache>
            </c:strRef>
          </c:cat>
          <c:val>
            <c:numRef>
              <c:f>'Chart table'!$D$16:$F$16</c:f>
              <c:numCache>
                <c:formatCode>0</c:formatCode>
                <c:ptCount val="3"/>
                <c:pt idx="0">
                  <c:v>158.53752</c:v>
                </c:pt>
                <c:pt idx="1">
                  <c:v>224.60899999999998</c:v>
                </c:pt>
                <c:pt idx="2">
                  <c:v>224.60899999999998</c:v>
                </c:pt>
              </c:numCache>
            </c:numRef>
          </c:val>
          <c:extLst>
            <c:ext xmlns:c16="http://schemas.microsoft.com/office/drawing/2014/chart" uri="{C3380CC4-5D6E-409C-BE32-E72D297353CC}">
              <c16:uniqueId val="{00000000-03E3-435C-9CF3-5825191EEB92}"/>
            </c:ext>
          </c:extLst>
        </c:ser>
        <c:ser>
          <c:idx val="1"/>
          <c:order val="2"/>
          <c:tx>
            <c:strRef>
              <c:f>'Chart table'!$C$17</c:f>
              <c:strCache>
                <c:ptCount val="1"/>
                <c:pt idx="0">
                  <c:v>Aggregates</c:v>
                </c:pt>
              </c:strCache>
            </c:strRef>
          </c:tx>
          <c:spPr>
            <a:solidFill>
              <a:schemeClr val="accent5"/>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table'!$D$15:$F$15</c:f>
              <c:strCache>
                <c:ptCount val="3"/>
                <c:pt idx="0">
                  <c:v>Blast furnace route</c:v>
                </c:pt>
                <c:pt idx="1">
                  <c:v>DRI-EAF_NG</c:v>
                </c:pt>
                <c:pt idx="2">
                  <c:v>DRI-EAF_H2</c:v>
                </c:pt>
              </c:strCache>
            </c:strRef>
          </c:cat>
          <c:val>
            <c:numRef>
              <c:f>'Chart table'!$D$17:$F$17</c:f>
              <c:numCache>
                <c:formatCode>0</c:formatCode>
                <c:ptCount val="3"/>
                <c:pt idx="0">
                  <c:v>97.986000000000004</c:v>
                </c:pt>
                <c:pt idx="1">
                  <c:v>75.281999999999996</c:v>
                </c:pt>
                <c:pt idx="2">
                  <c:v>75.281999999999996</c:v>
                </c:pt>
              </c:numCache>
            </c:numRef>
          </c:val>
          <c:extLst>
            <c:ext xmlns:c16="http://schemas.microsoft.com/office/drawing/2014/chart" uri="{C3380CC4-5D6E-409C-BE32-E72D297353CC}">
              <c16:uniqueId val="{00000000-87A4-456B-B423-11D4935C5E5D}"/>
            </c:ext>
          </c:extLst>
        </c:ser>
        <c:ser>
          <c:idx val="5"/>
          <c:order val="3"/>
          <c:tx>
            <c:strRef>
              <c:f>'Chart table'!$C$21</c:f>
              <c:strCache>
                <c:ptCount val="1"/>
                <c:pt idx="0">
                  <c:v>Electricity</c:v>
                </c:pt>
              </c:strCache>
            </c:strRef>
          </c:tx>
          <c:spPr>
            <a:solidFill>
              <a:schemeClr val="accent4"/>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table'!$D$15:$F$15</c:f>
              <c:strCache>
                <c:ptCount val="3"/>
                <c:pt idx="0">
                  <c:v>Blast furnace route</c:v>
                </c:pt>
                <c:pt idx="1">
                  <c:v>DRI-EAF_NG</c:v>
                </c:pt>
                <c:pt idx="2">
                  <c:v>DRI-EAF_H2</c:v>
                </c:pt>
              </c:strCache>
            </c:strRef>
          </c:cat>
          <c:val>
            <c:numRef>
              <c:f>'Chart table'!$D$21:$F$21</c:f>
              <c:numCache>
                <c:formatCode>0</c:formatCode>
                <c:ptCount val="3"/>
                <c:pt idx="0">
                  <c:v>0</c:v>
                </c:pt>
                <c:pt idx="1">
                  <c:v>41.114999999999995</c:v>
                </c:pt>
                <c:pt idx="2">
                  <c:v>41.114999999999995</c:v>
                </c:pt>
              </c:numCache>
            </c:numRef>
          </c:val>
          <c:extLst>
            <c:ext xmlns:c16="http://schemas.microsoft.com/office/drawing/2014/chart" uri="{C3380CC4-5D6E-409C-BE32-E72D297353CC}">
              <c16:uniqueId val="{0000000C-87A4-456B-B423-11D4935C5E5D}"/>
            </c:ext>
          </c:extLst>
        </c:ser>
        <c:ser>
          <c:idx val="3"/>
          <c:order val="4"/>
          <c:tx>
            <c:strRef>
              <c:f>'Chart table'!$C$19</c:f>
              <c:strCache>
                <c:ptCount val="1"/>
                <c:pt idx="0">
                  <c:v>Coal</c:v>
                </c:pt>
              </c:strCache>
            </c:strRef>
          </c:tx>
          <c:spPr>
            <a:solidFill>
              <a:srgbClr val="2FAC66"/>
            </a:solidFill>
          </c:spPr>
          <c:invertIfNegative val="0"/>
          <c:dPt>
            <c:idx val="0"/>
            <c:invertIfNegative val="0"/>
            <c:bubble3D val="0"/>
            <c:extLst>
              <c:ext xmlns:c16="http://schemas.microsoft.com/office/drawing/2014/chart" uri="{C3380CC4-5D6E-409C-BE32-E72D297353CC}">
                <c16:uniqueId val="{00000004-87A4-456B-B423-11D4935C5E5D}"/>
              </c:ext>
            </c:extLst>
          </c:dPt>
          <c:dLbls>
            <c:dLbl>
              <c:idx val="1"/>
              <c:delete val="1"/>
              <c:extLst>
                <c:ext xmlns:c15="http://schemas.microsoft.com/office/drawing/2012/chart" uri="{CE6537A1-D6FC-4f65-9D91-7224C49458BB}"/>
                <c:ext xmlns:c16="http://schemas.microsoft.com/office/drawing/2014/chart" uri="{C3380CC4-5D6E-409C-BE32-E72D297353CC}">
                  <c16:uniqueId val="{00000005-87A4-456B-B423-11D4935C5E5D}"/>
                </c:ext>
              </c:extLst>
            </c:dLbl>
            <c:dLbl>
              <c:idx val="2"/>
              <c:delete val="1"/>
              <c:extLst>
                <c:ext xmlns:c15="http://schemas.microsoft.com/office/drawing/2012/chart" uri="{CE6537A1-D6FC-4f65-9D91-7224C49458BB}"/>
                <c:ext xmlns:c16="http://schemas.microsoft.com/office/drawing/2014/chart" uri="{C3380CC4-5D6E-409C-BE32-E72D297353CC}">
                  <c16:uniqueId val="{00000006-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table'!$D$15:$F$15</c:f>
              <c:strCache>
                <c:ptCount val="3"/>
                <c:pt idx="0">
                  <c:v>Blast furnace route</c:v>
                </c:pt>
                <c:pt idx="1">
                  <c:v>DRI-EAF_NG</c:v>
                </c:pt>
                <c:pt idx="2">
                  <c:v>DRI-EAF_H2</c:v>
                </c:pt>
              </c:strCache>
            </c:strRef>
          </c:cat>
          <c:val>
            <c:numRef>
              <c:f>'Chart table'!$D$19:$F$19</c:f>
              <c:numCache>
                <c:formatCode>0</c:formatCode>
                <c:ptCount val="3"/>
                <c:pt idx="0">
                  <c:v>97.15</c:v>
                </c:pt>
                <c:pt idx="1">
                  <c:v>0</c:v>
                </c:pt>
                <c:pt idx="2">
                  <c:v>0</c:v>
                </c:pt>
              </c:numCache>
            </c:numRef>
          </c:val>
          <c:extLst>
            <c:ext xmlns:c16="http://schemas.microsoft.com/office/drawing/2014/chart" uri="{C3380CC4-5D6E-409C-BE32-E72D297353CC}">
              <c16:uniqueId val="{00000007-87A4-456B-B423-11D4935C5E5D}"/>
            </c:ext>
          </c:extLst>
        </c:ser>
        <c:ser>
          <c:idx val="4"/>
          <c:order val="5"/>
          <c:tx>
            <c:strRef>
              <c:f>'Chart table'!$C$20</c:f>
              <c:strCache>
                <c:ptCount val="1"/>
                <c:pt idx="0">
                  <c:v>Natural gas</c:v>
                </c:pt>
              </c:strCache>
            </c:strRef>
          </c:tx>
          <c:spPr>
            <a:solidFill>
              <a:srgbClr val="72AFC8"/>
            </a:solidFill>
          </c:spPr>
          <c:invertIfNegative val="0"/>
          <c:dPt>
            <c:idx val="1"/>
            <c:invertIfNegative val="0"/>
            <c:bubble3D val="0"/>
            <c:extLst>
              <c:ext xmlns:c16="http://schemas.microsoft.com/office/drawing/2014/chart" uri="{C3380CC4-5D6E-409C-BE32-E72D297353CC}">
                <c16:uniqueId val="{00000009-87A4-456B-B423-11D4935C5E5D}"/>
              </c:ext>
            </c:extLst>
          </c:dPt>
          <c:dPt>
            <c:idx val="2"/>
            <c:invertIfNegative val="0"/>
            <c:bubble3D val="0"/>
            <c:extLst>
              <c:ext xmlns:c16="http://schemas.microsoft.com/office/drawing/2014/chart" uri="{C3380CC4-5D6E-409C-BE32-E72D297353CC}">
                <c16:uniqueId val="{00000004-8322-714E-865B-6DDE4DE21321}"/>
              </c:ext>
            </c:extLst>
          </c:dPt>
          <c:dLbls>
            <c:dLbl>
              <c:idx val="1"/>
              <c:spPr/>
              <c:txPr>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A4-456B-B423-11D4935C5E5D}"/>
                </c:ext>
              </c:extLst>
            </c:dLbl>
            <c:spPr>
              <a:noFill/>
              <a:ln>
                <a:noFill/>
              </a:ln>
              <a:effectLst/>
            </c:spPr>
            <c:txPr>
              <a:bodyPr wrap="square" lIns="38100" tIns="19050" rIns="38100" bIns="19050" anchor="ctr">
                <a:spAutoFit/>
              </a:bodyPr>
              <a:lstStyle/>
              <a:p>
                <a:pPr>
                  <a:defRPr sz="1000"/>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'Chart table'!$D$15:$F$15</c:f>
              <c:strCache>
                <c:ptCount val="3"/>
                <c:pt idx="0">
                  <c:v>Blast furnace route</c:v>
                </c:pt>
                <c:pt idx="1">
                  <c:v>DRI-EAF_NG</c:v>
                </c:pt>
                <c:pt idx="2">
                  <c:v>DRI-EAF_H2</c:v>
                </c:pt>
              </c:strCache>
            </c:strRef>
          </c:cat>
          <c:val>
            <c:numRef>
              <c:f>'Chart table'!$D$20:$F$20</c:f>
              <c:numCache>
                <c:formatCode>0</c:formatCode>
                <c:ptCount val="3"/>
                <c:pt idx="0">
                  <c:v>5.9431524547803605</c:v>
                </c:pt>
                <c:pt idx="1">
                  <c:v>102.8560197368421</c:v>
                </c:pt>
                <c:pt idx="2">
                  <c:v>19.775000000000002</c:v>
                </c:pt>
              </c:numCache>
            </c:numRef>
          </c:val>
          <c:extLst>
            <c:ext xmlns:c16="http://schemas.microsoft.com/office/drawing/2014/chart" uri="{C3380CC4-5D6E-409C-BE32-E72D297353CC}">
              <c16:uniqueId val="{0000000A-87A4-456B-B423-11D4935C5E5D}"/>
            </c:ext>
          </c:extLst>
        </c:ser>
        <c:ser>
          <c:idx val="2"/>
          <c:order val="6"/>
          <c:tx>
            <c:strRef>
              <c:f>'Chart table'!$C$18</c:f>
              <c:strCache>
                <c:ptCount val="1"/>
                <c:pt idx="0">
                  <c:v>Hydrogen</c:v>
                </c:pt>
              </c:strCache>
            </c:strRef>
          </c:tx>
          <c:spPr>
            <a:solidFill>
              <a:schemeClr val="accent6">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87A4-456B-B423-11D4935C5E5D}"/>
                </c:ext>
              </c:extLst>
            </c:dLbl>
            <c:dLbl>
              <c:idx val="1"/>
              <c:delete val="1"/>
              <c:extLst>
                <c:ext xmlns:c15="http://schemas.microsoft.com/office/drawing/2012/chart" uri="{CE6537A1-D6FC-4f65-9D91-7224C49458BB}"/>
                <c:ext xmlns:c16="http://schemas.microsoft.com/office/drawing/2014/chart" uri="{C3380CC4-5D6E-409C-BE32-E72D297353CC}">
                  <c16:uniqueId val="{00000002-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table'!$D$15:$F$15</c:f>
              <c:strCache>
                <c:ptCount val="3"/>
                <c:pt idx="0">
                  <c:v>Blast furnace route</c:v>
                </c:pt>
                <c:pt idx="1">
                  <c:v>DRI-EAF_NG</c:v>
                </c:pt>
                <c:pt idx="2">
                  <c:v>DRI-EAF_H2</c:v>
                </c:pt>
              </c:strCache>
            </c:strRef>
          </c:cat>
          <c:val>
            <c:numRef>
              <c:f>'Chart table'!$D$18:$F$18</c:f>
              <c:numCache>
                <c:formatCode>0</c:formatCode>
                <c:ptCount val="3"/>
                <c:pt idx="0">
                  <c:v>0</c:v>
                </c:pt>
                <c:pt idx="1">
                  <c:v>0</c:v>
                </c:pt>
                <c:pt idx="2">
                  <c:v>267.21833756345177</c:v>
                </c:pt>
              </c:numCache>
            </c:numRef>
          </c:val>
          <c:extLst>
            <c:ext xmlns:c16="http://schemas.microsoft.com/office/drawing/2014/chart" uri="{C3380CC4-5D6E-409C-BE32-E72D297353CC}">
              <c16:uniqueId val="{00000003-87A4-456B-B423-11D4935C5E5D}"/>
            </c:ext>
          </c:extLst>
        </c:ser>
        <c:dLbls>
          <c:showLegendKey val="0"/>
          <c:showVal val="0"/>
          <c:showCatName val="0"/>
          <c:showSerName val="0"/>
          <c:showPercent val="0"/>
          <c:showBubbleSize val="0"/>
        </c:dLbls>
        <c:gapWidth val="100"/>
        <c:overlap val="100"/>
        <c:axId val="147521536"/>
        <c:axId val="147524608"/>
      </c:barChart>
      <c:catAx>
        <c:axId val="14752153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7524608"/>
        <c:crosses val="autoZero"/>
        <c:auto val="1"/>
        <c:lblAlgn val="ctr"/>
        <c:lblOffset val="100"/>
        <c:noMultiLvlLbl val="0"/>
      </c:catAx>
      <c:valAx>
        <c:axId val="1475246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 Rohstahl</a:t>
                </a:r>
              </a:p>
            </c:rich>
          </c:tx>
          <c:layout>
            <c:manualLayout>
              <c:xMode val="edge"/>
              <c:yMode val="edge"/>
              <c:x val="2.4230167394943009E-2"/>
              <c:y val="0.29269540316431342"/>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7521536"/>
        <c:crosses val="autoZero"/>
        <c:crossBetween val="between"/>
      </c:valAx>
      <c:spPr>
        <a:noFill/>
        <a:ln>
          <a:noFill/>
        </a:ln>
        <a:effectLst/>
      </c:spPr>
    </c:plotArea>
    <c:legend>
      <c:legendPos val="b"/>
      <c:layout>
        <c:manualLayout>
          <c:xMode val="edge"/>
          <c:yMode val="edge"/>
          <c:x val="2.4767905129066216E-2"/>
          <c:y val="0.86374928533384954"/>
          <c:w val="0.97502228613528441"/>
          <c:h val="0.117382785465949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4.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680356</xdr:colOff>
      <xdr:row>0</xdr:row>
      <xdr:rowOff>0</xdr:rowOff>
    </xdr:from>
    <xdr:to>
      <xdr:col>15</xdr:col>
      <xdr:colOff>26217</xdr:colOff>
      <xdr:row>0</xdr:row>
      <xdr:rowOff>1943</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3999" y="349053"/>
          <a:ext cx="2249715" cy="775297"/>
        </a:xfrm>
        <a:prstGeom prst="rect">
          <a:avLst/>
        </a:prstGeom>
      </xdr:spPr>
    </xdr:pic>
    <xdr:clientData/>
  </xdr:twoCellAnchor>
  <xdr:twoCellAnchor editAs="oneCell">
    <xdr:from>
      <xdr:col>5</xdr:col>
      <xdr:colOff>226786</xdr:colOff>
      <xdr:row>0</xdr:row>
      <xdr:rowOff>0</xdr:rowOff>
    </xdr:from>
    <xdr:to>
      <xdr:col>8</xdr:col>
      <xdr:colOff>102780</xdr:colOff>
      <xdr:row>0</xdr:row>
      <xdr:rowOff>537</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0572" y="390072"/>
          <a:ext cx="4118429" cy="388083"/>
        </a:xfrm>
        <a:prstGeom prst="rect">
          <a:avLst/>
        </a:prstGeom>
      </xdr:spPr>
    </xdr:pic>
    <xdr:clientData/>
  </xdr:twoCellAnchor>
  <xdr:twoCellAnchor editAs="oneCell">
    <xdr:from>
      <xdr:col>1</xdr:col>
      <xdr:colOff>380998</xdr:colOff>
      <xdr:row>0</xdr:row>
      <xdr:rowOff>0</xdr:rowOff>
    </xdr:from>
    <xdr:to>
      <xdr:col>3</xdr:col>
      <xdr:colOff>477870</xdr:colOff>
      <xdr:row>0</xdr:row>
      <xdr:rowOff>1088</xdr:rowOff>
    </xdr:to>
    <xdr:pic>
      <xdr:nvPicPr>
        <xdr:cNvPr id="5" name="Picture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784" y="362857"/>
          <a:ext cx="2082971" cy="816428"/>
        </a:xfrm>
        <a:prstGeom prst="rect">
          <a:avLst/>
        </a:prstGeom>
        <a:noFill/>
        <a:ln>
          <a:noFill/>
        </a:ln>
      </xdr:spPr>
    </xdr:pic>
    <xdr:clientData/>
  </xdr:twoCellAnchor>
  <xdr:twoCellAnchor editAs="oneCell">
    <xdr:from>
      <xdr:col>10</xdr:col>
      <xdr:colOff>2291481</xdr:colOff>
      <xdr:row>2</xdr:row>
      <xdr:rowOff>40215</xdr:rowOff>
    </xdr:from>
    <xdr:to>
      <xdr:col>10</xdr:col>
      <xdr:colOff>4323600</xdr:colOff>
      <xdr:row>7</xdr:row>
      <xdr:rowOff>8919</xdr:rowOff>
    </xdr:to>
    <xdr:pic>
      <xdr:nvPicPr>
        <xdr:cNvPr id="11" name="Picture 1">
          <a:extLst>
            <a:ext uri="{FF2B5EF4-FFF2-40B4-BE49-F238E27FC236}">
              <a16:creationId xmlns:a16="http://schemas.microsoft.com/office/drawing/2014/main" id="{3F89EC0A-2371-44DA-AE4B-8C6723770720}"/>
            </a:ext>
          </a:extLst>
        </xdr:cNvPr>
        <xdr:cNvPicPr/>
      </xdr:nvPicPr>
      <xdr:blipFill>
        <a:blip xmlns:r="http://schemas.openxmlformats.org/officeDocument/2006/relationships" r:embed="rId4"/>
        <a:srcRect/>
        <a:stretch/>
      </xdr:blipFill>
      <xdr:spPr bwMode="auto">
        <a:xfrm>
          <a:off x="11511681" y="377672"/>
          <a:ext cx="2032119" cy="839561"/>
        </a:xfrm>
        <a:prstGeom prst="rect">
          <a:avLst/>
        </a:prstGeom>
        <a:noFill/>
        <a:ln>
          <a:noFill/>
        </a:ln>
      </xdr:spPr>
    </xdr:pic>
    <xdr:clientData/>
  </xdr:twoCellAnchor>
  <xdr:twoCellAnchor editAs="oneCell">
    <xdr:from>
      <xdr:col>2</xdr:col>
      <xdr:colOff>146050</xdr:colOff>
      <xdr:row>5</xdr:row>
      <xdr:rowOff>0</xdr:rowOff>
    </xdr:from>
    <xdr:to>
      <xdr:col>3</xdr:col>
      <xdr:colOff>680426</xdr:colOff>
      <xdr:row>6</xdr:row>
      <xdr:rowOff>27526</xdr:rowOff>
    </xdr:to>
    <xdr:pic>
      <xdr:nvPicPr>
        <xdr:cNvPr id="4" name="Grafik 3">
          <a:extLst>
            <a:ext uri="{FF2B5EF4-FFF2-40B4-BE49-F238E27FC236}">
              <a16:creationId xmlns:a16="http://schemas.microsoft.com/office/drawing/2014/main" id="{324364DF-43D5-4AA2-82E2-282C6ADC1C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0" y="869950"/>
          <a:ext cx="2109176" cy="205326"/>
        </a:xfrm>
        <a:prstGeom prst="rect">
          <a:avLst/>
        </a:prstGeom>
      </xdr:spPr>
    </xdr:pic>
    <xdr:clientData/>
  </xdr:twoCellAnchor>
  <xdr:twoCellAnchor editAs="oneCell">
    <xdr:from>
      <xdr:col>7</xdr:col>
      <xdr:colOff>717550</xdr:colOff>
      <xdr:row>2</xdr:row>
      <xdr:rowOff>133350</xdr:rowOff>
    </xdr:from>
    <xdr:to>
      <xdr:col>8</xdr:col>
      <xdr:colOff>184140</xdr:colOff>
      <xdr:row>6</xdr:row>
      <xdr:rowOff>160210</xdr:rowOff>
    </xdr:to>
    <xdr:pic>
      <xdr:nvPicPr>
        <xdr:cNvPr id="6" name="Grafik 5">
          <a:extLst>
            <a:ext uri="{FF2B5EF4-FFF2-40B4-BE49-F238E27FC236}">
              <a16:creationId xmlns:a16="http://schemas.microsoft.com/office/drawing/2014/main" id="{595BDDB3-182B-4277-93B0-8F5C414D8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26150" y="469900"/>
          <a:ext cx="1993890" cy="73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5549900</xdr:colOff>
      <xdr:row>3</xdr:row>
      <xdr:rowOff>63500</xdr:rowOff>
    </xdr:from>
    <xdr:to>
      <xdr:col>2</xdr:col>
      <xdr:colOff>7377135</xdr:colOff>
      <xdr:row>7</xdr:row>
      <xdr:rowOff>20651</xdr:rowOff>
    </xdr:to>
    <xdr:pic>
      <xdr:nvPicPr>
        <xdr:cNvPr id="5" name="Grafik 4">
          <a:extLst>
            <a:ext uri="{FF2B5EF4-FFF2-40B4-BE49-F238E27FC236}">
              <a16:creationId xmlns:a16="http://schemas.microsoft.com/office/drawing/2014/main" id="{A140E295-DC31-49A3-89A9-E30304297A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7100" y="539750"/>
          <a:ext cx="1827235" cy="592151"/>
        </a:xfrm>
        <a:prstGeom prst="rect">
          <a:avLst/>
        </a:prstGeom>
      </xdr:spPr>
    </xdr:pic>
    <xdr:clientData/>
  </xdr:twoCellAnchor>
  <xdr:twoCellAnchor editAs="oneCell">
    <xdr:from>
      <xdr:col>2</xdr:col>
      <xdr:colOff>10858500</xdr:colOff>
      <xdr:row>2</xdr:row>
      <xdr:rowOff>146164</xdr:rowOff>
    </xdr:from>
    <xdr:to>
      <xdr:col>2</xdr:col>
      <xdr:colOff>12907634</xdr:colOff>
      <xdr:row>8</xdr:row>
      <xdr:rowOff>13039</xdr:rowOff>
    </xdr:to>
    <xdr:pic>
      <xdr:nvPicPr>
        <xdr:cNvPr id="2" name="Picture 1">
          <a:extLst>
            <a:ext uri="{FF2B5EF4-FFF2-40B4-BE49-F238E27FC236}">
              <a16:creationId xmlns:a16="http://schemas.microsoft.com/office/drawing/2014/main" id="{5432B382-B06C-405F-B969-BF476F9A33FA}"/>
            </a:ext>
          </a:extLst>
        </xdr:cNvPr>
        <xdr:cNvPicPr/>
      </xdr:nvPicPr>
      <xdr:blipFill>
        <a:blip xmlns:r="http://schemas.openxmlformats.org/officeDocument/2006/relationships" r:embed="rId2"/>
        <a:srcRect/>
        <a:stretch/>
      </xdr:blipFill>
      <xdr:spPr bwMode="auto">
        <a:xfrm>
          <a:off x="11315700" y="472735"/>
          <a:ext cx="2049134" cy="846590"/>
        </a:xfrm>
        <a:prstGeom prst="rect">
          <a:avLst/>
        </a:prstGeom>
        <a:noFill/>
        <a:ln>
          <a:noFill/>
        </a:ln>
      </xdr:spPr>
    </xdr:pic>
    <xdr:clientData/>
  </xdr:twoCellAnchor>
  <xdr:twoCellAnchor editAs="oneCell">
    <xdr:from>
      <xdr:col>2</xdr:col>
      <xdr:colOff>44450</xdr:colOff>
      <xdr:row>5</xdr:row>
      <xdr:rowOff>0</xdr:rowOff>
    </xdr:from>
    <xdr:to>
      <xdr:col>2</xdr:col>
      <xdr:colOff>2153626</xdr:colOff>
      <xdr:row>6</xdr:row>
      <xdr:rowOff>46576</xdr:rowOff>
    </xdr:to>
    <xdr:pic>
      <xdr:nvPicPr>
        <xdr:cNvPr id="3" name="Grafik 2">
          <a:extLst>
            <a:ext uri="{FF2B5EF4-FFF2-40B4-BE49-F238E27FC236}">
              <a16:creationId xmlns:a16="http://schemas.microsoft.com/office/drawing/2014/main" id="{5EE87194-F0C9-4C97-9DAE-A6DF7CD6D9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650" y="793750"/>
          <a:ext cx="2109176" cy="20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17290</xdr:colOff>
      <xdr:row>55</xdr:row>
      <xdr:rowOff>59124</xdr:rowOff>
    </xdr:from>
    <xdr:to>
      <xdr:col>19</xdr:col>
      <xdr:colOff>601622</xdr:colOff>
      <xdr:row>74</xdr:row>
      <xdr:rowOff>136176</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39896</xdr:colOff>
      <xdr:row>22</xdr:row>
      <xdr:rowOff>121670</xdr:rowOff>
    </xdr:from>
    <xdr:to>
      <xdr:col>29</xdr:col>
      <xdr:colOff>443304</xdr:colOff>
      <xdr:row>43</xdr:row>
      <xdr:rowOff>35787</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40998</xdr:colOff>
      <xdr:row>17</xdr:row>
      <xdr:rowOff>229348</xdr:rowOff>
    </xdr:from>
    <xdr:to>
      <xdr:col>19</xdr:col>
      <xdr:colOff>627529</xdr:colOff>
      <xdr:row>36</xdr:row>
      <xdr:rowOff>31119</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10570</xdr:colOff>
      <xdr:row>17</xdr:row>
      <xdr:rowOff>229512</xdr:rowOff>
    </xdr:from>
    <xdr:to>
      <xdr:col>10</xdr:col>
      <xdr:colOff>26707</xdr:colOff>
      <xdr:row>36</xdr:row>
      <xdr:rowOff>56030</xdr:rowOff>
    </xdr:to>
    <xdr:grpSp>
      <xdr:nvGrpSpPr>
        <xdr:cNvPr id="15" name="Gruppieren 14">
          <a:extLst>
            <a:ext uri="{FF2B5EF4-FFF2-40B4-BE49-F238E27FC236}">
              <a16:creationId xmlns:a16="http://schemas.microsoft.com/office/drawing/2014/main" id="{9CEBA26E-A33F-409D-918A-0E9E21CD5B2D}"/>
            </a:ext>
          </a:extLst>
        </xdr:cNvPr>
        <xdr:cNvGrpSpPr/>
      </xdr:nvGrpSpPr>
      <xdr:grpSpPr>
        <a:xfrm>
          <a:off x="476735" y="3967794"/>
          <a:ext cx="6210748" cy="3403436"/>
          <a:chOff x="240448" y="2097083"/>
          <a:chExt cx="5920835" cy="3236368"/>
        </a:xfrm>
      </xdr:grpSpPr>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240448" y="2121595"/>
          <a:ext cx="5920835" cy="3211856"/>
        </xdr:xfrm>
        <a:graphic>
          <a:graphicData uri="http://schemas.openxmlformats.org/drawingml/2006/chart">
            <c:chart xmlns:c="http://schemas.openxmlformats.org/drawingml/2006/chart" xmlns:r="http://schemas.openxmlformats.org/officeDocument/2006/relationships" r:id="rId4"/>
          </a:graphicData>
        </a:graphic>
      </xdr:graphicFrame>
      <xdr:sp macro="" textlink="$D$14">
        <xdr:nvSpPr>
          <xdr:cNvPr id="7" name="Textfeld 6">
            <a:extLst>
              <a:ext uri="{FF2B5EF4-FFF2-40B4-BE49-F238E27FC236}">
                <a16:creationId xmlns:a16="http://schemas.microsoft.com/office/drawing/2014/main" id="{00000000-0008-0000-0300-000007000000}"/>
              </a:ext>
            </a:extLst>
          </xdr:cNvPr>
          <xdr:cNvSpPr txBox="1"/>
        </xdr:nvSpPr>
        <xdr:spPr>
          <a:xfrm>
            <a:off x="1684709" y="2129741"/>
            <a:ext cx="379966" cy="22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E2396A3-676B-470C-B1D6-3B7302C61E90}" type="TxLink">
              <a:rPr lang="en-US" sz="1000" b="1" i="0" u="none" strike="noStrike">
                <a:solidFill>
                  <a:srgbClr val="000000"/>
                </a:solidFill>
                <a:latin typeface="Arial"/>
                <a:cs typeface="Arial"/>
              </a:rPr>
              <a:pPr/>
              <a:t>436</a:t>
            </a:fld>
            <a:endParaRPr lang="de-DE" sz="1000"/>
          </a:p>
        </xdr:txBody>
      </xdr:sp>
      <xdr:sp macro="" textlink="">
        <xdr:nvSpPr>
          <xdr:cNvPr id="8" name="Textfeld 7">
            <a:extLst>
              <a:ext uri="{FF2B5EF4-FFF2-40B4-BE49-F238E27FC236}">
                <a16:creationId xmlns:a16="http://schemas.microsoft.com/office/drawing/2014/main" id="{00000000-0008-0000-0300-000008000000}"/>
              </a:ext>
            </a:extLst>
          </xdr:cNvPr>
          <xdr:cNvSpPr txBox="1"/>
        </xdr:nvSpPr>
        <xdr:spPr>
          <a:xfrm>
            <a:off x="1169270" y="2097083"/>
            <a:ext cx="290977" cy="312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i="0" u="none" strike="noStrike">
                <a:solidFill>
                  <a:srgbClr val="000000"/>
                </a:solidFill>
                <a:latin typeface="Symbol" panose="05050102010706020507" pitchFamily="18" charset="2"/>
                <a:cs typeface="Arial"/>
              </a:rPr>
              <a:t>S</a:t>
            </a:r>
          </a:p>
        </xdr:txBody>
      </xdr:sp>
    </xdr:grpSp>
    <xdr:clientData/>
  </xdr:twoCellAnchor>
  <xdr:twoCellAnchor>
    <xdr:from>
      <xdr:col>1</xdr:col>
      <xdr:colOff>214102</xdr:colOff>
      <xdr:row>48</xdr:row>
      <xdr:rowOff>46391</xdr:rowOff>
    </xdr:from>
    <xdr:to>
      <xdr:col>10</xdr:col>
      <xdr:colOff>40757</xdr:colOff>
      <xdr:row>74</xdr:row>
      <xdr:rowOff>139577</xdr:rowOff>
    </xdr:to>
    <xdr:grpSp>
      <xdr:nvGrpSpPr>
        <xdr:cNvPr id="17" name="Gruppieren 16">
          <a:extLst>
            <a:ext uri="{FF2B5EF4-FFF2-40B4-BE49-F238E27FC236}">
              <a16:creationId xmlns:a16="http://schemas.microsoft.com/office/drawing/2014/main" id="{2062D20B-180E-4BE6-891C-D628CB9C53CB}"/>
            </a:ext>
          </a:extLst>
        </xdr:cNvPr>
        <xdr:cNvGrpSpPr/>
      </xdr:nvGrpSpPr>
      <xdr:grpSpPr>
        <a:xfrm>
          <a:off x="447184" y="9871709"/>
          <a:ext cx="6254349" cy="4853444"/>
          <a:chOff x="7738814" y="983875"/>
          <a:chExt cx="5904054" cy="4147233"/>
        </a:xfrm>
      </xdr:grpSpPr>
      <xdr:graphicFrame macro="">
        <xdr:nvGraphicFramePr>
          <xdr:cNvPr id="6" name="Diagramm 5">
            <a:extLst>
              <a:ext uri="{FF2B5EF4-FFF2-40B4-BE49-F238E27FC236}">
                <a16:creationId xmlns:a16="http://schemas.microsoft.com/office/drawing/2014/main" id="{00000000-0008-0000-0300-000006000000}"/>
              </a:ext>
            </a:extLst>
          </xdr:cNvPr>
          <xdr:cNvGraphicFramePr>
            <a:graphicFrameLocks noChangeAspect="1"/>
          </xdr:cNvGraphicFramePr>
        </xdr:nvGraphicFramePr>
        <xdr:xfrm>
          <a:off x="7738814" y="983875"/>
          <a:ext cx="5904054" cy="4147233"/>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Textfeld 8">
            <a:extLst>
              <a:ext uri="{FF2B5EF4-FFF2-40B4-BE49-F238E27FC236}">
                <a16:creationId xmlns:a16="http://schemas.microsoft.com/office/drawing/2014/main" id="{00000000-0008-0000-0300-000009000000}"/>
              </a:ext>
            </a:extLst>
          </xdr:cNvPr>
          <xdr:cNvSpPr txBox="1"/>
        </xdr:nvSpPr>
        <xdr:spPr>
          <a:xfrm>
            <a:off x="8903619" y="1004270"/>
            <a:ext cx="296692" cy="305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000" b="1" i="0" u="none" strike="noStrike">
                <a:solidFill>
                  <a:srgbClr val="000000"/>
                </a:solidFill>
                <a:latin typeface="Symbol" panose="05050102010706020507" pitchFamily="18" charset="2"/>
                <a:cs typeface="Arial"/>
              </a:rPr>
              <a:t>S</a:t>
            </a:r>
          </a:p>
        </xdr:txBody>
      </xdr:sp>
      <xdr:sp macro="" textlink="'Chart table'!D10">
        <xdr:nvSpPr>
          <xdr:cNvPr id="10" name="Textfeld 9">
            <a:extLst>
              <a:ext uri="{FF2B5EF4-FFF2-40B4-BE49-F238E27FC236}">
                <a16:creationId xmlns:a16="http://schemas.microsoft.com/office/drawing/2014/main" id="{00000000-0008-0000-0300-00000A000000}"/>
              </a:ext>
            </a:extLst>
          </xdr:cNvPr>
          <xdr:cNvSpPr txBox="1"/>
        </xdr:nvSpPr>
        <xdr:spPr>
          <a:xfrm>
            <a:off x="9244481" y="1001810"/>
            <a:ext cx="480362"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18FC182-3B53-4C37-9312-6785E6DA4672}" type="TxLink">
              <a:rPr lang="en-US" sz="1000" b="1" i="0" u="none" strike="noStrike">
                <a:solidFill>
                  <a:srgbClr val="000000"/>
                </a:solidFill>
                <a:latin typeface="Arial"/>
                <a:cs typeface="Arial"/>
              </a:rPr>
              <a:pPr/>
              <a:t>398</a:t>
            </a:fld>
            <a:endParaRPr lang="de-DE" sz="1000" b="1"/>
          </a:p>
        </xdr:txBody>
      </xdr:sp>
      <xdr:sp macro="" textlink="'Chart table'!E10">
        <xdr:nvSpPr>
          <xdr:cNvPr id="11" name="Textfeld 10">
            <a:extLst>
              <a:ext uri="{FF2B5EF4-FFF2-40B4-BE49-F238E27FC236}">
                <a16:creationId xmlns:a16="http://schemas.microsoft.com/office/drawing/2014/main" id="{00000000-0008-0000-0300-00000B000000}"/>
              </a:ext>
            </a:extLst>
          </xdr:cNvPr>
          <xdr:cNvSpPr txBox="1"/>
        </xdr:nvSpPr>
        <xdr:spPr>
          <a:xfrm>
            <a:off x="10854200" y="1001810"/>
            <a:ext cx="489887"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6F46106-F6AA-4471-946A-B667A71AEF0F}" type="TxLink">
              <a:rPr lang="en-US" sz="1000" b="1" i="0" u="none" strike="noStrike">
                <a:solidFill>
                  <a:srgbClr val="000000"/>
                </a:solidFill>
                <a:latin typeface="Arial"/>
                <a:cs typeface="Arial"/>
              </a:rPr>
              <a:pPr/>
              <a:t>484</a:t>
            </a:fld>
            <a:endParaRPr lang="de-DE" sz="1000" b="1"/>
          </a:p>
        </xdr:txBody>
      </xdr:sp>
      <xdr:sp macro="" textlink="'Chart table'!F10">
        <xdr:nvSpPr>
          <xdr:cNvPr id="12" name="Textfeld 11">
            <a:extLst>
              <a:ext uri="{FF2B5EF4-FFF2-40B4-BE49-F238E27FC236}">
                <a16:creationId xmlns:a16="http://schemas.microsoft.com/office/drawing/2014/main" id="{00000000-0008-0000-0300-00000C000000}"/>
              </a:ext>
            </a:extLst>
          </xdr:cNvPr>
          <xdr:cNvSpPr txBox="1"/>
        </xdr:nvSpPr>
        <xdr:spPr>
          <a:xfrm>
            <a:off x="12471671" y="990481"/>
            <a:ext cx="482267"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F395C9B-607F-4459-9CD4-E50405A3A5F8}" type="TxLink">
              <a:rPr lang="en-US" sz="1000" b="1" i="0" u="none" strike="noStrike">
                <a:solidFill>
                  <a:srgbClr val="000000"/>
                </a:solidFill>
                <a:latin typeface="Arial"/>
                <a:cs typeface="Arial"/>
              </a:rPr>
              <a:pPr/>
              <a:t>668</a:t>
            </a:fld>
            <a:endParaRPr lang="de-DE" sz="1000" b="1"/>
          </a:p>
        </xdr:txBody>
      </xdr:sp>
    </xdr:grpSp>
    <xdr:clientData/>
  </xdr:twoCellAnchor>
  <xdr:twoCellAnchor>
    <xdr:from>
      <xdr:col>5</xdr:col>
      <xdr:colOff>355920</xdr:colOff>
      <xdr:row>39</xdr:row>
      <xdr:rowOff>88046</xdr:rowOff>
    </xdr:from>
    <xdr:to>
      <xdr:col>5</xdr:col>
      <xdr:colOff>764134</xdr:colOff>
      <xdr:row>42</xdr:row>
      <xdr:rowOff>69903</xdr:rowOff>
    </xdr:to>
    <xdr:sp macro="" textlink="">
      <xdr:nvSpPr>
        <xdr:cNvPr id="13" name="Pfeil: nach unten 12">
          <a:extLst>
            <a:ext uri="{FF2B5EF4-FFF2-40B4-BE49-F238E27FC236}">
              <a16:creationId xmlns:a16="http://schemas.microsoft.com/office/drawing/2014/main" id="{0CDD175A-4539-4855-BF12-211B4DB62CCB}"/>
            </a:ext>
          </a:extLst>
        </xdr:cNvPr>
        <xdr:cNvSpPr/>
      </xdr:nvSpPr>
      <xdr:spPr>
        <a:xfrm>
          <a:off x="3374038" y="7110399"/>
          <a:ext cx="408214" cy="45250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15</xdr:col>
      <xdr:colOff>759332</xdr:colOff>
      <xdr:row>39</xdr:row>
      <xdr:rowOff>102988</xdr:rowOff>
    </xdr:from>
    <xdr:to>
      <xdr:col>15</xdr:col>
      <xdr:colOff>1167546</xdr:colOff>
      <xdr:row>42</xdr:row>
      <xdr:rowOff>84845</xdr:rowOff>
    </xdr:to>
    <xdr:sp macro="" textlink="">
      <xdr:nvSpPr>
        <xdr:cNvPr id="14" name="Pfeil: nach unten 13">
          <a:extLst>
            <a:ext uri="{FF2B5EF4-FFF2-40B4-BE49-F238E27FC236}">
              <a16:creationId xmlns:a16="http://schemas.microsoft.com/office/drawing/2014/main" id="{C6D334E7-5520-47C7-B34D-4E0331EC9385}"/>
            </a:ext>
          </a:extLst>
        </xdr:cNvPr>
        <xdr:cNvSpPr/>
      </xdr:nvSpPr>
      <xdr:spPr>
        <a:xfrm>
          <a:off x="10799803" y="7558635"/>
          <a:ext cx="408214" cy="45250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0.52833</cdr:x>
      <cdr:y>0</cdr:y>
    </cdr:from>
    <cdr:to>
      <cdr:x>0.5925</cdr:x>
      <cdr:y>0.071</cdr:y>
    </cdr:to>
    <cdr:sp macro="" textlink="Results!$E$14">
      <cdr:nvSpPr>
        <cdr:cNvPr id="2" name="Textfeld 6"/>
        <cdr:cNvSpPr txBox="1"/>
      </cdr:nvSpPr>
      <cdr:spPr>
        <a:xfrm xmlns:a="http://schemas.openxmlformats.org/drawingml/2006/main">
          <a:off x="3281324" y="0"/>
          <a:ext cx="39857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3BD80B9-2805-4FA0-9935-A58311EDEE2E}" type="TxLink">
            <a:rPr lang="en-US" sz="1000" b="1" i="0" u="none" strike="noStrike">
              <a:solidFill>
                <a:srgbClr val="000000"/>
              </a:solidFill>
              <a:latin typeface="Arial"/>
              <a:cs typeface="Arial"/>
            </a:rPr>
            <a:pPr/>
            <a:t>568</a:t>
          </a:fld>
          <a:endParaRPr lang="de-DE" sz="1000"/>
        </a:p>
      </cdr:txBody>
    </cdr:sp>
  </cdr:relSizeAnchor>
  <cdr:relSizeAnchor xmlns:cdr="http://schemas.openxmlformats.org/drawingml/2006/chartDrawing">
    <cdr:from>
      <cdr:x>0.80012</cdr:x>
      <cdr:y>0</cdr:y>
    </cdr:from>
    <cdr:to>
      <cdr:x>0.86429</cdr:x>
      <cdr:y>0.071</cdr:y>
    </cdr:to>
    <cdr:sp macro="" textlink="Results!$F$14">
      <cdr:nvSpPr>
        <cdr:cNvPr id="3" name="Textfeld 6"/>
        <cdr:cNvSpPr txBox="1"/>
      </cdr:nvSpPr>
      <cdr:spPr>
        <a:xfrm xmlns:a="http://schemas.openxmlformats.org/drawingml/2006/main">
          <a:off x="4969344" y="0"/>
          <a:ext cx="39857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07B58A8B-7D10-4A60-B42E-0CF9BB72372D}" type="TxLink">
            <a:rPr lang="en-US" sz="1000" b="1" i="0" u="none" strike="noStrike">
              <a:solidFill>
                <a:srgbClr val="000000"/>
              </a:solidFill>
              <a:latin typeface="Arial"/>
              <a:cs typeface="Arial"/>
            </a:rPr>
            <a:pPr/>
            <a:t>747</a:t>
          </a:fld>
          <a:endParaRPr lang="de-DE"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Energie_PL_0203_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VDZEnergieWerkLag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ergiewirtschaftsbericht/2015/Werke/NZ/NST_EnergieWB_201409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EWB_CLA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 val="Parame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I5" t="str">
            <v>2002/03</v>
          </cell>
          <cell r="AP5">
            <v>86</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I5" t="str">
            <v>2002/03</v>
          </cell>
          <cell r="AP5">
            <v>70</v>
          </cell>
          <cell r="BD5">
            <v>114</v>
          </cell>
          <cell r="BI5" t="b">
            <v>1</v>
          </cell>
        </row>
        <row r="6">
          <cell r="I6" t="str">
            <v>P&amp;l Werk Lage</v>
          </cell>
          <cell r="AP6" t="str">
            <v/>
          </cell>
          <cell r="BD6" t="e">
            <v>#VALUE!</v>
          </cell>
        </row>
        <row r="7">
          <cell r="AL7" t="str">
            <v>Hillgenann / Kriesten</v>
          </cell>
        </row>
        <row r="23">
          <cell r="AK23">
            <v>512731</v>
          </cell>
        </row>
        <row r="25">
          <cell r="AL25">
            <v>331.4</v>
          </cell>
        </row>
        <row r="27">
          <cell r="AL27">
            <v>74265.8</v>
          </cell>
        </row>
        <row r="28">
          <cell r="AN28">
            <v>28.89</v>
          </cell>
        </row>
        <row r="30">
          <cell r="AL30">
            <v>0</v>
          </cell>
        </row>
        <row r="37">
          <cell r="AA37">
            <v>72889.86</v>
          </cell>
          <cell r="AN37">
            <v>32.1</v>
          </cell>
        </row>
        <row r="38">
          <cell r="AA38">
            <v>13494</v>
          </cell>
          <cell r="AN38">
            <v>25.79</v>
          </cell>
        </row>
        <row r="43">
          <cell r="AA43">
            <v>27049</v>
          </cell>
          <cell r="AN43">
            <v>89</v>
          </cell>
        </row>
        <row r="44">
          <cell r="AA44">
            <v>23658</v>
          </cell>
          <cell r="AN44">
            <v>89</v>
          </cell>
        </row>
        <row r="45">
          <cell r="AA45">
            <v>3541.89</v>
          </cell>
          <cell r="AN45">
            <v>85.2</v>
          </cell>
        </row>
        <row r="51">
          <cell r="AL51">
            <v>0</v>
          </cell>
        </row>
        <row r="85">
          <cell r="M85">
            <v>4001.9</v>
          </cell>
          <cell r="AO85">
            <v>8.68</v>
          </cell>
        </row>
        <row r="87">
          <cell r="M87">
            <v>0</v>
          </cell>
          <cell r="AO87">
            <v>0</v>
          </cell>
        </row>
        <row r="89">
          <cell r="M89">
            <v>0</v>
          </cell>
          <cell r="AO89">
            <v>0</v>
          </cell>
        </row>
        <row r="91">
          <cell r="M91">
            <v>0</v>
          </cell>
          <cell r="AO91">
            <v>0</v>
          </cell>
        </row>
        <row r="93">
          <cell r="M93">
            <v>4794.5</v>
          </cell>
          <cell r="AO93">
            <v>11.28</v>
          </cell>
        </row>
        <row r="95">
          <cell r="L95">
            <v>0</v>
          </cell>
          <cell r="AO95">
            <v>0</v>
          </cell>
        </row>
        <row r="97">
          <cell r="L97">
            <v>0</v>
          </cell>
          <cell r="AO97">
            <v>0</v>
          </cell>
        </row>
        <row r="99">
          <cell r="L99">
            <v>0</v>
          </cell>
          <cell r="AO99">
            <v>0</v>
          </cell>
        </row>
        <row r="106">
          <cell r="AB106">
            <v>0</v>
          </cell>
        </row>
        <row r="124">
          <cell r="M124">
            <v>0</v>
          </cell>
          <cell r="AO124">
            <v>0</v>
          </cell>
        </row>
        <row r="126">
          <cell r="M126">
            <v>0</v>
          </cell>
          <cell r="AO126">
            <v>0</v>
          </cell>
        </row>
        <row r="128">
          <cell r="M128">
            <v>0</v>
          </cell>
          <cell r="AO128">
            <v>0</v>
          </cell>
        </row>
        <row r="130">
          <cell r="M130">
            <v>0</v>
          </cell>
          <cell r="AO130">
            <v>0</v>
          </cell>
        </row>
        <row r="132">
          <cell r="M132">
            <v>1897</v>
          </cell>
          <cell r="AO132">
            <v>11.28</v>
          </cell>
        </row>
        <row r="134">
          <cell r="M134">
            <v>0</v>
          </cell>
          <cell r="AO134">
            <v>0</v>
          </cell>
        </row>
        <row r="136">
          <cell r="M136">
            <v>0</v>
          </cell>
          <cell r="AO136">
            <v>0</v>
          </cell>
        </row>
        <row r="138">
          <cell r="M138">
            <v>424500</v>
          </cell>
          <cell r="AO138">
            <v>5.5</v>
          </cell>
        </row>
        <row r="145">
          <cell r="M145">
            <v>1116.2</v>
          </cell>
          <cell r="AO145">
            <v>7.89</v>
          </cell>
        </row>
        <row r="152">
          <cell r="AH152">
            <v>12385.2</v>
          </cell>
        </row>
        <row r="153">
          <cell r="AH153">
            <v>648.70000000000005</v>
          </cell>
        </row>
        <row r="155">
          <cell r="AH155">
            <v>107.2</v>
          </cell>
        </row>
        <row r="156">
          <cell r="AH156">
            <v>0</v>
          </cell>
        </row>
        <row r="295">
          <cell r="M295">
            <v>0</v>
          </cell>
          <cell r="AO295">
            <v>0</v>
          </cell>
        </row>
        <row r="297">
          <cell r="M297">
            <v>0</v>
          </cell>
          <cell r="AO297">
            <v>0</v>
          </cell>
        </row>
        <row r="299">
          <cell r="M299">
            <v>0</v>
          </cell>
          <cell r="AO299">
            <v>0</v>
          </cell>
        </row>
        <row r="301">
          <cell r="M301">
            <v>0</v>
          </cell>
          <cell r="AO301">
            <v>0</v>
          </cell>
        </row>
        <row r="303">
          <cell r="M303">
            <v>0</v>
          </cell>
          <cell r="AO303">
            <v>0</v>
          </cell>
        </row>
        <row r="305">
          <cell r="M305">
            <v>0</v>
          </cell>
          <cell r="AO305">
            <v>0</v>
          </cell>
        </row>
        <row r="307">
          <cell r="M307">
            <v>0</v>
          </cell>
          <cell r="AO307">
            <v>0</v>
          </cell>
        </row>
        <row r="309">
          <cell r="M309">
            <v>0</v>
          </cell>
          <cell r="AO309">
            <v>0</v>
          </cell>
        </row>
        <row r="313">
          <cell r="AB313">
            <v>0</v>
          </cell>
        </row>
        <row r="320">
          <cell r="AI320">
            <v>0</v>
          </cell>
        </row>
        <row r="321">
          <cell r="AI321">
            <v>0</v>
          </cell>
        </row>
        <row r="323">
          <cell r="AI323">
            <v>0</v>
          </cell>
        </row>
        <row r="324">
          <cell r="AI324">
            <v>0</v>
          </cell>
        </row>
        <row r="369">
          <cell r="M369">
            <v>834</v>
          </cell>
          <cell r="AO369">
            <v>8.68</v>
          </cell>
        </row>
        <row r="371">
          <cell r="M371">
            <v>0</v>
          </cell>
          <cell r="AO371">
            <v>0</v>
          </cell>
        </row>
        <row r="373">
          <cell r="M373">
            <v>0</v>
          </cell>
          <cell r="AO373">
            <v>0</v>
          </cell>
        </row>
        <row r="375">
          <cell r="M375">
            <v>0</v>
          </cell>
          <cell r="AO375">
            <v>0</v>
          </cell>
        </row>
        <row r="377">
          <cell r="M377">
            <v>242.6</v>
          </cell>
          <cell r="AO377">
            <v>11.28</v>
          </cell>
        </row>
        <row r="379">
          <cell r="M379">
            <v>373</v>
          </cell>
          <cell r="AO379">
            <v>9.89</v>
          </cell>
        </row>
        <row r="381">
          <cell r="M381">
            <v>0</v>
          </cell>
          <cell r="AO381">
            <v>0</v>
          </cell>
        </row>
        <row r="383">
          <cell r="M383">
            <v>0</v>
          </cell>
          <cell r="AO383">
            <v>0</v>
          </cell>
        </row>
        <row r="388">
          <cell r="AB388">
            <v>0</v>
          </cell>
        </row>
        <row r="398">
          <cell r="AI398">
            <v>0</v>
          </cell>
        </row>
        <row r="399">
          <cell r="AI399">
            <v>2533.1999999999998</v>
          </cell>
        </row>
        <row r="401">
          <cell r="AI401">
            <v>0</v>
          </cell>
        </row>
        <row r="402">
          <cell r="AI40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S"/>
      <sheetName val="Schnitt"/>
      <sheetName val="Teil 1"/>
      <sheetName val="Teil 2"/>
      <sheetName val="Teil 1-2"/>
      <sheetName val="Schnitt-Ergebnis"/>
      <sheetName val="Stammdaten"/>
      <sheetName val="Tabelle1"/>
    </sheetNames>
    <sheetDataSet>
      <sheetData sheetId="0" refreshError="1"/>
      <sheetData sheetId="1" refreshError="1"/>
      <sheetData sheetId="2"/>
      <sheetData sheetId="3">
        <row r="5">
          <cell r="AP5">
            <v>25</v>
          </cell>
        </row>
      </sheetData>
      <sheetData sheetId="4">
        <row r="5">
          <cell r="BD5">
            <v>188</v>
          </cell>
        </row>
        <row r="6">
          <cell r="I6" t="str">
            <v>Nordstemmen</v>
          </cell>
          <cell r="AP6">
            <v>49</v>
          </cell>
          <cell r="BD6">
            <v>194</v>
          </cell>
        </row>
        <row r="23">
          <cell r="AK23">
            <v>1895006</v>
          </cell>
        </row>
        <row r="25">
          <cell r="AL25">
            <v>1055</v>
          </cell>
        </row>
        <row r="27">
          <cell r="AL27">
            <v>229042</v>
          </cell>
        </row>
        <row r="28">
          <cell r="AN28">
            <v>0</v>
          </cell>
        </row>
        <row r="30">
          <cell r="AL30">
            <v>94503</v>
          </cell>
        </row>
        <row r="37">
          <cell r="AA37">
            <v>316401</v>
          </cell>
          <cell r="AN37">
            <v>31.674480453601596</v>
          </cell>
        </row>
        <row r="38">
          <cell r="AA38">
            <v>25088.440000000002</v>
          </cell>
          <cell r="AN38">
            <v>26.102228596118369</v>
          </cell>
        </row>
        <row r="43">
          <cell r="AA43">
            <v>125849.2</v>
          </cell>
          <cell r="AN43">
            <v>91.856661973218749</v>
          </cell>
        </row>
        <row r="44">
          <cell r="AA44">
            <v>108960</v>
          </cell>
          <cell r="AN44">
            <v>91.857671806167403</v>
          </cell>
        </row>
        <row r="45">
          <cell r="AA45">
            <v>17420.690000000002</v>
          </cell>
          <cell r="AN45">
            <v>88.45187703242523</v>
          </cell>
        </row>
        <row r="51">
          <cell r="AL51">
            <v>68229</v>
          </cell>
        </row>
        <row r="53">
          <cell r="AN53">
            <v>20.08802063638629</v>
          </cell>
        </row>
        <row r="85">
          <cell r="M85">
            <v>8116.24</v>
          </cell>
          <cell r="AO85">
            <v>8.9030000000000005</v>
          </cell>
        </row>
        <row r="87">
          <cell r="M87">
            <v>0</v>
          </cell>
          <cell r="AO87">
            <v>0</v>
          </cell>
        </row>
        <row r="89">
          <cell r="M89">
            <v>0</v>
          </cell>
          <cell r="AO89">
            <v>0</v>
          </cell>
        </row>
        <row r="91">
          <cell r="M91">
            <v>0</v>
          </cell>
          <cell r="AO91">
            <v>0</v>
          </cell>
        </row>
        <row r="93">
          <cell r="M93">
            <v>0</v>
          </cell>
          <cell r="AO93">
            <v>0</v>
          </cell>
        </row>
        <row r="95">
          <cell r="L95">
            <v>0</v>
          </cell>
          <cell r="AO95">
            <v>0</v>
          </cell>
        </row>
        <row r="97">
          <cell r="L97">
            <v>25114259</v>
          </cell>
          <cell r="AO97">
            <v>8.8239999999999998</v>
          </cell>
        </row>
        <row r="99">
          <cell r="L99">
            <v>0</v>
          </cell>
          <cell r="AO99">
            <v>0</v>
          </cell>
        </row>
        <row r="106">
          <cell r="AB106">
            <v>0</v>
          </cell>
        </row>
        <row r="124">
          <cell r="M124">
            <v>0</v>
          </cell>
          <cell r="AO124">
            <v>0</v>
          </cell>
        </row>
        <row r="126">
          <cell r="M126">
            <v>0</v>
          </cell>
          <cell r="AO126">
            <v>0</v>
          </cell>
        </row>
        <row r="128">
          <cell r="M128">
            <v>0</v>
          </cell>
          <cell r="AO128">
            <v>0</v>
          </cell>
        </row>
        <row r="130">
          <cell r="M130">
            <v>11912.9</v>
          </cell>
          <cell r="AO130">
            <v>6.0579999999999998</v>
          </cell>
        </row>
        <row r="132">
          <cell r="M132">
            <v>432</v>
          </cell>
          <cell r="AO132">
            <v>11.263999999999999</v>
          </cell>
        </row>
        <row r="134">
          <cell r="M134">
            <v>0</v>
          </cell>
          <cell r="AO134">
            <v>0</v>
          </cell>
        </row>
        <row r="136">
          <cell r="M136">
            <v>6337246</v>
          </cell>
          <cell r="AO136">
            <v>8.8239999999999998</v>
          </cell>
        </row>
        <row r="138">
          <cell r="M138">
            <v>1693000</v>
          </cell>
          <cell r="AO138">
            <v>6.4630000000000001</v>
          </cell>
        </row>
        <row r="143">
          <cell r="M143">
            <v>1787.84</v>
          </cell>
          <cell r="AO143">
            <v>7.7290000000000001</v>
          </cell>
        </row>
        <row r="145">
          <cell r="M145">
            <v>935.78</v>
          </cell>
          <cell r="AO145">
            <v>8.3059999999999992</v>
          </cell>
        </row>
        <row r="147">
          <cell r="M147">
            <v>0</v>
          </cell>
          <cell r="AO147">
            <v>0</v>
          </cell>
        </row>
        <row r="154">
          <cell r="AH154">
            <v>47123.535000000003</v>
          </cell>
        </row>
        <row r="155">
          <cell r="AH155">
            <v>154.07999999999998</v>
          </cell>
        </row>
        <row r="157">
          <cell r="AH157">
            <v>5703.982</v>
          </cell>
        </row>
        <row r="158">
          <cell r="AH158">
            <v>0</v>
          </cell>
        </row>
        <row r="297">
          <cell r="M297">
            <v>1105.69</v>
          </cell>
          <cell r="AO297">
            <v>8.9030000000000005</v>
          </cell>
        </row>
        <row r="299">
          <cell r="M299">
            <v>0</v>
          </cell>
          <cell r="AO299">
            <v>0</v>
          </cell>
        </row>
        <row r="301">
          <cell r="M301">
            <v>0</v>
          </cell>
          <cell r="AO301">
            <v>0</v>
          </cell>
        </row>
        <row r="303">
          <cell r="M303">
            <v>0</v>
          </cell>
          <cell r="AO303">
            <v>0</v>
          </cell>
        </row>
        <row r="305">
          <cell r="M305">
            <v>0</v>
          </cell>
          <cell r="AO305">
            <v>0</v>
          </cell>
        </row>
        <row r="307">
          <cell r="M307">
            <v>0</v>
          </cell>
          <cell r="AO307">
            <v>0</v>
          </cell>
        </row>
        <row r="309">
          <cell r="M309">
            <v>5772653.9000000004</v>
          </cell>
          <cell r="AO309">
            <v>8.8239999999999998</v>
          </cell>
        </row>
        <row r="311">
          <cell r="M311">
            <v>0</v>
          </cell>
          <cell r="AO311">
            <v>0</v>
          </cell>
        </row>
        <row r="315">
          <cell r="AB315">
            <v>0</v>
          </cell>
        </row>
        <row r="322">
          <cell r="AI322">
            <v>8838.8449999999993</v>
          </cell>
        </row>
        <row r="323">
          <cell r="AI323">
            <v>240.07999999999998</v>
          </cell>
        </row>
        <row r="325">
          <cell r="AI325">
            <v>3239.52</v>
          </cell>
        </row>
        <row r="326">
          <cell r="AI326">
            <v>0</v>
          </cell>
        </row>
        <row r="371">
          <cell r="M371">
            <v>0</v>
          </cell>
          <cell r="AO371">
            <v>0</v>
          </cell>
        </row>
        <row r="373">
          <cell r="M373">
            <v>0</v>
          </cell>
          <cell r="AO373">
            <v>0</v>
          </cell>
        </row>
        <row r="375">
          <cell r="M375">
            <v>0</v>
          </cell>
          <cell r="AO375">
            <v>0</v>
          </cell>
        </row>
        <row r="377">
          <cell r="M377">
            <v>0</v>
          </cell>
          <cell r="AO377">
            <v>0</v>
          </cell>
        </row>
        <row r="379">
          <cell r="M379">
            <v>0</v>
          </cell>
          <cell r="AO379">
            <v>0</v>
          </cell>
        </row>
        <row r="381">
          <cell r="M381">
            <v>41</v>
          </cell>
          <cell r="AO381">
            <v>11.263999999999999</v>
          </cell>
        </row>
        <row r="383">
          <cell r="M383">
            <v>238840.5</v>
          </cell>
          <cell r="AO383">
            <v>8.8239999999999998</v>
          </cell>
        </row>
        <row r="385">
          <cell r="M385">
            <v>0</v>
          </cell>
          <cell r="AO385">
            <v>0</v>
          </cell>
        </row>
        <row r="390">
          <cell r="AB390">
            <v>0</v>
          </cell>
        </row>
        <row r="400">
          <cell r="AI400">
            <v>0</v>
          </cell>
        </row>
        <row r="401">
          <cell r="AI401">
            <v>6684.3580000000002</v>
          </cell>
        </row>
        <row r="403">
          <cell r="AI403">
            <v>0</v>
          </cell>
        </row>
        <row r="404">
          <cell r="AI404">
            <v>0</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I5" t="str">
            <v>2002/03</v>
          </cell>
        </row>
      </sheetData>
    </sheetDataSet>
  </externalBook>
</externalLink>
</file>

<file path=xl/theme/theme1.xml><?xml version="1.0" encoding="utf-8"?>
<a:theme xmlns:a="http://schemas.openxmlformats.org/drawingml/2006/main" name="Agora">
  <a:themeElements>
    <a:clrScheme name="Agora 1">
      <a:dk1>
        <a:sysClr val="windowText" lastClr="000000"/>
      </a:dk1>
      <a:lt1>
        <a:sysClr val="window" lastClr="FFFFFF"/>
      </a:lt1>
      <a:dk2>
        <a:srgbClr val="000000"/>
      </a:dk2>
      <a:lt2>
        <a:srgbClr val="FFFFFF"/>
      </a:lt2>
      <a:accent1>
        <a:srgbClr val="733E88"/>
      </a:accent1>
      <a:accent2>
        <a:srgbClr val="D05094"/>
      </a:accent2>
      <a:accent3>
        <a:srgbClr val="64B9E4"/>
      </a:accent3>
      <a:accent4>
        <a:srgbClr val="1E83B3"/>
      </a:accent4>
      <a:accent5>
        <a:srgbClr val="48A8AE"/>
      </a:accent5>
      <a:accent6>
        <a:srgbClr val="8393BE"/>
      </a:accent6>
      <a:hlink>
        <a:srgbClr val="000000"/>
      </a:hlink>
      <a:folHlink>
        <a:srgbClr val="000000"/>
      </a:folHlink>
    </a:clrScheme>
    <a:fontScheme name="Agora">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upperinst.org/" TargetMode="External"/><Relationship Id="rId2" Type="http://schemas.openxmlformats.org/officeDocument/2006/relationships/hyperlink" Target="mailto:info@agora-industry.com" TargetMode="External"/><Relationship Id="rId1" Type="http://schemas.openxmlformats.org/officeDocument/2006/relationships/hyperlink" Target="http://www.future-camp.d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agora-energiewende.d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umweltbundesamt.de/sites/default/files/medien/1410/publikationen/2019-01-21_texte_07-2019_abwaermenutzungspotenziale-huettenwerke.pdf" TargetMode="External"/><Relationship Id="rId13" Type="http://schemas.openxmlformats.org/officeDocument/2006/relationships/hyperlink" Target="https://publications.jrc.ec.europa.eu/repository/handle/JRC73044" TargetMode="External"/><Relationship Id="rId18" Type="http://schemas.openxmlformats.org/officeDocument/2006/relationships/hyperlink" Target="https://www.kohlenimporteure.de/files/user_upload/jahresberichte/VdKi_Jahresbericht_2020.pdf" TargetMode="External"/><Relationship Id="rId26" Type="http://schemas.openxmlformats.org/officeDocument/2006/relationships/hyperlink" Target="https://publications.industry.gov.au/publications/resourcesandenergyquarterlydecember2021/documents/Resources-and-Energy-Quarterly-December-2021-Met-Coal.pdf" TargetMode="External"/><Relationship Id="rId3" Type="http://schemas.openxmlformats.org/officeDocument/2006/relationships/hyperlink" Target="https://reader.elsevier.com/reader/sd/pii/S0959652618326301?token=141CBDF6F88338E77A3D37AB4B08B4BBBBDD032E4E72E31BB7DB4EB5F3C4AC2DA5F87F2DC7E28FABE2C99C649C1A4806" TargetMode="External"/><Relationship Id="rId21" Type="http://schemas.openxmlformats.org/officeDocument/2006/relationships/hyperlink" Target="https://op.europa.eu/en/publication-detail/-/publication/25d79153-02b6-4370-974c-2a45baf79167/language-de" TargetMode="External"/><Relationship Id="rId7" Type="http://schemas.openxmlformats.org/officeDocument/2006/relationships/hyperlink" Target="https://cdn.sei.org/wp-content/uploads/2018/09/hydrogen-steelmaking-for-a-low-carbon-economy.pdf" TargetMode="External"/><Relationship Id="rId12" Type="http://schemas.openxmlformats.org/officeDocument/2006/relationships/hyperlink" Target="https://germany.arcelormittal.com/icc/arcelor/med/b8e/b8e0c15a-102c-d51d-b2a9-147d7b2f25d3,11111111-1111-1111-1111-111111111111.pdf" TargetMode="External"/><Relationship Id="rId17" Type="http://schemas.openxmlformats.org/officeDocument/2006/relationships/hyperlink" Target="https://deeds.eu/wp-content/uploads/2020/05/Iron-and-Steel_web.pdf" TargetMode="External"/><Relationship Id="rId25" Type="http://schemas.openxmlformats.org/officeDocument/2006/relationships/hyperlink" Target="https://www.spglobal.com/commodityinsights/en/market-insights/blogs/metals/031122-iron-ore-prices-iodex-trade-overview-2021" TargetMode="External"/><Relationship Id="rId2" Type="http://schemas.openxmlformats.org/officeDocument/2006/relationships/hyperlink" Target="http://elpub.bib.uni-wuppertal.de/edocs/dokumente/fbd/sicherheitstechnik/diss2014/weigel/dd1408.pdf" TargetMode="External"/><Relationship Id="rId16" Type="http://schemas.openxmlformats.org/officeDocument/2006/relationships/hyperlink" Target="https://www.bmwi.de/Redaktion/DE/Downloads/E/energiewende-in-der-industrie-ap2a-branchensteckbrief-stahl.pdf?__blob=publicationFile&amp;v=4" TargetMode="External"/><Relationship Id="rId20" Type="http://schemas.openxmlformats.org/officeDocument/2006/relationships/hyperlink" Target="https://eur-lex.europa.eu/legal-content/EN/TXT/?uri=CELEX%3A02019R0331-20190227" TargetMode="External"/><Relationship Id="rId29" Type="http://schemas.openxmlformats.org/officeDocument/2006/relationships/printerSettings" Target="../printerSettings/printerSettings8.bin"/><Relationship Id="rId1" Type="http://schemas.openxmlformats.org/officeDocument/2006/relationships/hyperlink" Target="https://escholarship.org/content/qt77n9d4sp/qt77n9d4sp.pdf" TargetMode="External"/><Relationship Id="rId6" Type="http://schemas.openxmlformats.org/officeDocument/2006/relationships/hyperlink" Target="https://epub.wupperinst.org/frontdoor/deliver/index/docId/7676/file/7676_Klimaneutrale_Industrie.pdf" TargetMode="External"/><Relationship Id="rId11" Type="http://schemas.openxmlformats.org/officeDocument/2006/relationships/hyperlink" Target="https://link.springer.com/chapter/10.1007%2F978-3-662-58006-6_15" TargetMode="External"/><Relationship Id="rId24" Type="http://schemas.openxmlformats.org/officeDocument/2006/relationships/hyperlink" Target="https://www.stahl-online.de/wp-content/uploads/Schlussbericht-Studie-Low-carbon-Europe-2050_-Mai-20131.pdf" TargetMode="External"/><Relationship Id="rId5" Type="http://schemas.openxmlformats.org/officeDocument/2006/relationships/hyperlink" Target="https://link.springer.com/article/10.1007/s00501-020-00968-1" TargetMode="External"/><Relationship Id="rId15" Type="http://schemas.openxmlformats.org/officeDocument/2006/relationships/hyperlink" Target="https://static.agora-energiewende.de/fileadmin2/Projekte/2020/2020_10_KNDE/A-EW_195_KNDE_WEB_V111.pdf" TargetMode="External"/><Relationship Id="rId23" Type="http://schemas.openxmlformats.org/officeDocument/2006/relationships/hyperlink" Target="https://www.umweltbundesamt.de/sites/default/files/medien/367/dokumente/bvt-merkblatt_eisen-_und_stahlerzeugung_endfassung.pdf" TargetMode="External"/><Relationship Id="rId28" Type="http://schemas.openxmlformats.org/officeDocument/2006/relationships/hyperlink" Target="https://static.agora-energiewende.de/fileadmin/Projekte/2021/2021_11_DE_KNStrom2035/A-EW_264_KNStrom2035_WEB.pdf" TargetMode="External"/><Relationship Id="rId10" Type="http://schemas.openxmlformats.org/officeDocument/2006/relationships/hyperlink" Target="https://www.sciencedirect.com/science/article/abs/pii/S095965261400540X" TargetMode="External"/><Relationship Id="rId19" Type="http://schemas.openxmlformats.org/officeDocument/2006/relationships/hyperlink" Target="https://elib.uni-stuttgart.de/bitstream/11682/9259/5/BRUNKE_ENERGIEEINSPARKOSTENKURVEN_209.pdf" TargetMode="External"/><Relationship Id="rId4" Type="http://schemas.openxmlformats.org/officeDocument/2006/relationships/hyperlink" Target="https://www.bmwi.de/Redaktion/DE/Publikationen/Studien/entwicklung-der-energiemaerkte-energiereferenzprognose-endbericht.pdf?__blob=publicationFile&amp;v=7" TargetMode="External"/><Relationship Id="rId9" Type="http://schemas.openxmlformats.org/officeDocument/2006/relationships/hyperlink" Target="https://reposit.haw-hamburg.de/bitstream/20.500.12738/8922/1/Domnick_geschwaerzt.pdf" TargetMode="External"/><Relationship Id="rId14" Type="http://schemas.openxmlformats.org/officeDocument/2006/relationships/hyperlink" Target="https://onlinelibrary.wiley.com/doi/epdf/10.1002/srin.202000110" TargetMode="External"/><Relationship Id="rId22" Type="http://schemas.openxmlformats.org/officeDocument/2006/relationships/hyperlink" Target="https://www.worldsteel.org/en/dam/jcr:ab8be93e-1d2f-4215-9143-4eba6808bf03/20190207_steelFacts.pdf" TargetMode="External"/><Relationship Id="rId27" Type="http://schemas.openxmlformats.org/officeDocument/2006/relationships/hyperlink" Target="https://www.bdew.de/media/documents/220504_BDEW-Gaspreisanalyse_April_2022_04.05.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34"/>
  <sheetViews>
    <sheetView tabSelected="1" zoomScale="70" zoomScaleNormal="70" workbookViewId="0">
      <selection activeCell="K17" sqref="K17"/>
    </sheetView>
  </sheetViews>
  <sheetFormatPr baseColWidth="10" defaultColWidth="9" defaultRowHeight="13.2"/>
  <cols>
    <col min="1" max="2" width="2.19921875" style="1" customWidth="1"/>
    <col min="3" max="3" width="20.69921875" style="1" customWidth="1"/>
    <col min="4" max="7" width="11.19921875" style="1" customWidth="1"/>
    <col min="8" max="8" width="33.19921875" style="1" customWidth="1"/>
    <col min="9" max="9" width="11.19921875" style="1" customWidth="1"/>
    <col min="10" max="10" width="7.19921875" style="1" customWidth="1"/>
    <col min="11" max="11" width="61.09765625" style="1" bestFit="1" customWidth="1"/>
    <col min="12" max="12" width="2.19921875" style="1" customWidth="1"/>
    <col min="13" max="13" width="11.19921875" style="1" customWidth="1"/>
    <col min="14" max="16384" width="9" style="1"/>
  </cols>
  <sheetData>
    <row r="2" spans="2:13" s="2" customFormat="1" ht="13.8">
      <c r="B2" s="3"/>
      <c r="C2" s="4"/>
      <c r="D2" s="5"/>
      <c r="E2" s="5"/>
      <c r="F2" s="5"/>
      <c r="G2" s="5"/>
      <c r="H2" s="5"/>
      <c r="I2" s="5"/>
      <c r="J2" s="5"/>
      <c r="K2" s="5"/>
      <c r="L2" s="3"/>
      <c r="M2" s="6"/>
    </row>
    <row r="3" spans="2:13" s="2" customFormat="1" ht="13.8">
      <c r="B3" s="3"/>
      <c r="C3" s="4"/>
      <c r="D3" s="5"/>
      <c r="E3" s="5"/>
      <c r="F3" s="5"/>
      <c r="G3" s="5"/>
      <c r="H3" s="5"/>
      <c r="I3" s="5"/>
      <c r="J3" s="5"/>
      <c r="K3" s="5"/>
      <c r="L3" s="3"/>
      <c r="M3" s="6"/>
    </row>
    <row r="4" spans="2:13" s="2" customFormat="1" ht="13.8">
      <c r="B4" s="3"/>
      <c r="C4" s="4"/>
      <c r="D4" s="5"/>
      <c r="E4" s="5"/>
      <c r="F4" s="5"/>
      <c r="G4" s="5"/>
      <c r="H4" s="5"/>
      <c r="I4" s="5"/>
      <c r="J4" s="5"/>
      <c r="K4" s="5"/>
      <c r="L4" s="3"/>
      <c r="M4" s="6"/>
    </row>
    <row r="5" spans="2:13" s="2" customFormat="1" ht="13.8">
      <c r="B5" s="3"/>
      <c r="C5" s="4"/>
      <c r="D5" s="5"/>
      <c r="E5" s="5"/>
      <c r="F5" s="5"/>
      <c r="G5" s="5"/>
      <c r="H5" s="5"/>
      <c r="I5" s="5"/>
      <c r="J5" s="5"/>
      <c r="K5" s="5"/>
      <c r="L5" s="3"/>
      <c r="M5" s="6"/>
    </row>
    <row r="6" spans="2:13" s="2" customFormat="1" ht="13.8">
      <c r="B6" s="3"/>
      <c r="C6" s="4"/>
      <c r="D6" s="5"/>
      <c r="E6" s="5"/>
      <c r="F6" s="5"/>
      <c r="G6" s="5"/>
      <c r="H6" s="5"/>
      <c r="I6" s="5"/>
      <c r="J6" s="5"/>
      <c r="K6" s="5"/>
      <c r="L6" s="3"/>
      <c r="M6" s="6"/>
    </row>
    <row r="7" spans="2:13" s="2" customFormat="1" ht="13.8">
      <c r="B7" s="3"/>
      <c r="C7" s="4"/>
      <c r="D7" s="5"/>
      <c r="E7" s="5"/>
      <c r="F7" s="5"/>
      <c r="G7" s="5"/>
      <c r="H7" s="5"/>
      <c r="I7" s="5"/>
      <c r="J7" s="5"/>
      <c r="K7" s="5"/>
      <c r="L7" s="3"/>
      <c r="M7" s="6"/>
    </row>
    <row r="8" spans="2:13" s="2" customFormat="1" ht="13.8">
      <c r="B8" s="3"/>
      <c r="C8" s="4"/>
      <c r="D8" s="5"/>
      <c r="E8" s="5"/>
      <c r="F8" s="5"/>
      <c r="G8" s="5"/>
      <c r="H8" s="5"/>
      <c r="I8" s="5"/>
      <c r="J8" s="5"/>
      <c r="K8" s="5"/>
      <c r="L8" s="3"/>
      <c r="M8" s="6"/>
    </row>
    <row r="9" spans="2:13" s="2" customFormat="1" ht="17.399999999999999">
      <c r="B9" s="3"/>
      <c r="C9" s="7" t="s">
        <v>179</v>
      </c>
      <c r="D9" s="5"/>
      <c r="E9" s="5"/>
      <c r="F9" s="5"/>
      <c r="G9" s="5"/>
      <c r="H9" s="5"/>
      <c r="I9" s="5"/>
      <c r="J9" s="5"/>
      <c r="K9" s="5"/>
      <c r="L9" s="3"/>
      <c r="M9" s="6"/>
    </row>
    <row r="10" spans="2:13" s="2" customFormat="1" ht="17.399999999999999">
      <c r="B10" s="3"/>
      <c r="C10" s="8"/>
      <c r="D10" s="5"/>
      <c r="E10" s="5"/>
      <c r="F10" s="5"/>
      <c r="G10" s="5"/>
      <c r="H10" s="5"/>
      <c r="I10" s="5"/>
      <c r="J10" s="5"/>
      <c r="K10" s="5"/>
      <c r="L10" s="3"/>
      <c r="M10" s="6"/>
    </row>
    <row r="11" spans="2:13" s="2" customFormat="1" ht="13.8">
      <c r="B11" s="3"/>
      <c r="C11" s="9"/>
      <c r="D11" s="10"/>
      <c r="E11" s="10"/>
      <c r="F11" s="10"/>
      <c r="G11" s="10"/>
      <c r="H11" s="10"/>
      <c r="I11" s="10"/>
      <c r="J11" s="10"/>
      <c r="K11" s="10"/>
      <c r="L11" s="3"/>
      <c r="M11" s="6"/>
    </row>
    <row r="12" spans="2:13" s="2" customFormat="1" ht="17.399999999999999">
      <c r="B12" s="3"/>
      <c r="C12" s="162" t="s">
        <v>180</v>
      </c>
      <c r="D12" s="5"/>
      <c r="E12" s="5"/>
      <c r="F12" s="5"/>
      <c r="G12" s="5"/>
      <c r="H12" s="5"/>
      <c r="I12" s="5"/>
      <c r="J12" s="5"/>
      <c r="K12" s="5"/>
      <c r="L12" s="3"/>
      <c r="M12" s="6"/>
    </row>
    <row r="13" spans="2:13" s="2" customFormat="1" ht="13.8">
      <c r="B13" s="3"/>
      <c r="C13" s="4"/>
      <c r="D13" s="5"/>
      <c r="E13" s="5"/>
      <c r="F13" s="5"/>
      <c r="G13" s="5"/>
      <c r="H13" s="5"/>
      <c r="I13" s="5"/>
      <c r="J13" s="5"/>
      <c r="K13" s="5"/>
      <c r="L13" s="3"/>
      <c r="M13" s="6"/>
    </row>
    <row r="14" spans="2:13" s="2" customFormat="1" ht="13.8">
      <c r="B14" s="3"/>
      <c r="C14" s="11" t="s">
        <v>181</v>
      </c>
      <c r="D14" s="12" t="s">
        <v>44</v>
      </c>
      <c r="E14" s="13"/>
      <c r="F14" s="14" t="s">
        <v>185</v>
      </c>
      <c r="G14" s="12" t="s">
        <v>61</v>
      </c>
      <c r="H14" s="13"/>
      <c r="I14" s="12" t="s">
        <v>187</v>
      </c>
      <c r="J14" s="13"/>
      <c r="K14" s="12" t="s">
        <v>45</v>
      </c>
      <c r="L14" s="3"/>
      <c r="M14" s="6"/>
    </row>
    <row r="15" spans="2:13" s="2" customFormat="1" ht="13.8">
      <c r="B15" s="3"/>
      <c r="C15" s="11"/>
      <c r="D15" s="12" t="s">
        <v>46</v>
      </c>
      <c r="E15" s="13"/>
      <c r="F15" s="13"/>
      <c r="G15" s="12" t="s">
        <v>47</v>
      </c>
      <c r="H15" s="13"/>
      <c r="I15" s="13"/>
      <c r="J15" s="13"/>
      <c r="K15" s="12" t="s">
        <v>48</v>
      </c>
      <c r="L15" s="3"/>
      <c r="M15" s="6"/>
    </row>
    <row r="16" spans="2:13" s="2" customFormat="1" ht="13.8">
      <c r="B16" s="3"/>
      <c r="C16" s="15"/>
      <c r="D16" s="12" t="s">
        <v>56</v>
      </c>
      <c r="E16" s="13"/>
      <c r="F16" s="13"/>
      <c r="G16" s="12" t="s">
        <v>49</v>
      </c>
      <c r="H16" s="13"/>
      <c r="I16" s="13"/>
      <c r="J16" s="13"/>
      <c r="K16" s="12" t="s">
        <v>50</v>
      </c>
      <c r="L16" s="3"/>
      <c r="M16" s="6"/>
    </row>
    <row r="17" spans="2:13" s="2" customFormat="1" ht="13.8">
      <c r="B17" s="3"/>
      <c r="C17" s="11"/>
      <c r="D17" s="371" t="s">
        <v>51</v>
      </c>
      <c r="E17" s="13"/>
      <c r="F17" s="13"/>
      <c r="G17" s="311" t="s">
        <v>68</v>
      </c>
      <c r="H17" s="13"/>
      <c r="I17" s="13"/>
      <c r="J17" s="13"/>
      <c r="K17" s="310" t="s">
        <v>159</v>
      </c>
      <c r="L17" s="3"/>
      <c r="M17" s="6"/>
    </row>
    <row r="18" spans="2:13" s="2" customFormat="1" ht="13.8">
      <c r="B18" s="3"/>
      <c r="C18" s="15"/>
      <c r="D18" s="12"/>
      <c r="E18" s="13"/>
      <c r="F18" s="13"/>
      <c r="G18" s="12"/>
      <c r="H18" s="13"/>
      <c r="I18" s="13"/>
      <c r="J18" s="13"/>
      <c r="K18" s="13"/>
      <c r="L18" s="3"/>
      <c r="M18" s="6"/>
    </row>
    <row r="19" spans="2:13" s="2" customFormat="1" ht="13.8">
      <c r="B19" s="3"/>
      <c r="C19" s="11" t="s">
        <v>182</v>
      </c>
      <c r="D19" s="12" t="s">
        <v>52</v>
      </c>
      <c r="E19" s="13"/>
      <c r="F19" s="13"/>
      <c r="G19" s="12" t="s">
        <v>54</v>
      </c>
      <c r="H19" s="13"/>
      <c r="I19" s="12" t="s">
        <v>188</v>
      </c>
      <c r="J19" s="13"/>
      <c r="K19" s="12" t="s">
        <v>149</v>
      </c>
      <c r="L19" s="3"/>
      <c r="M19" s="6"/>
    </row>
    <row r="20" spans="2:13" s="2" customFormat="1" ht="26.4">
      <c r="B20" s="3"/>
      <c r="C20" s="15"/>
      <c r="D20" s="12"/>
      <c r="E20" s="13"/>
      <c r="F20" s="13"/>
      <c r="G20" s="12" t="s">
        <v>53</v>
      </c>
      <c r="H20" s="13"/>
      <c r="I20" s="12" t="s">
        <v>150</v>
      </c>
      <c r="J20" s="13"/>
      <c r="K20" s="345" t="s">
        <v>177</v>
      </c>
      <c r="L20" s="3"/>
      <c r="M20" s="6"/>
    </row>
    <row r="21" spans="2:13" s="2" customFormat="1" ht="13.8">
      <c r="B21" s="3"/>
      <c r="C21" s="15"/>
      <c r="D21" s="12"/>
      <c r="E21" s="13"/>
      <c r="F21" s="13"/>
      <c r="G21" s="12"/>
      <c r="H21" s="13"/>
      <c r="I21" s="12"/>
      <c r="J21" s="13"/>
      <c r="K21" s="345" t="s">
        <v>151</v>
      </c>
      <c r="L21" s="3"/>
      <c r="M21" s="6"/>
    </row>
    <row r="22" spans="2:13" s="2" customFormat="1" ht="13.8">
      <c r="B22" s="3"/>
      <c r="C22" s="15"/>
      <c r="D22" s="12"/>
      <c r="E22" s="13"/>
      <c r="F22" s="13"/>
      <c r="G22" s="12"/>
      <c r="H22" s="13"/>
      <c r="I22" s="12" t="s">
        <v>189</v>
      </c>
      <c r="J22" s="13"/>
      <c r="K22" s="12" t="s">
        <v>151</v>
      </c>
      <c r="L22" s="3"/>
      <c r="M22" s="6"/>
    </row>
    <row r="23" spans="2:13" s="2" customFormat="1" ht="13.8">
      <c r="B23" s="3"/>
      <c r="C23" s="17"/>
      <c r="D23" s="18"/>
      <c r="E23" s="19"/>
      <c r="F23" s="19"/>
      <c r="G23" s="18"/>
      <c r="H23" s="19"/>
      <c r="I23" s="18"/>
      <c r="J23" s="19"/>
      <c r="K23" s="18"/>
      <c r="L23" s="3"/>
      <c r="M23" s="6"/>
    </row>
    <row r="24" spans="2:13" s="2" customFormat="1" ht="13.8">
      <c r="B24" s="3"/>
      <c r="C24" s="15"/>
      <c r="D24" s="12"/>
      <c r="E24" s="13"/>
      <c r="F24" s="13"/>
      <c r="G24" s="13"/>
      <c r="H24" s="13"/>
      <c r="I24" s="12"/>
      <c r="J24" s="13"/>
      <c r="K24" s="12"/>
      <c r="L24" s="3"/>
      <c r="M24" s="6"/>
    </row>
    <row r="25" spans="2:13" s="2" customFormat="1" ht="13.8">
      <c r="B25" s="3"/>
      <c r="C25" s="11" t="s">
        <v>183</v>
      </c>
      <c r="D25" s="342">
        <v>44911</v>
      </c>
      <c r="E25" s="13"/>
      <c r="F25" s="13"/>
      <c r="G25" s="13"/>
      <c r="H25" s="13"/>
      <c r="I25" s="12" t="s">
        <v>191</v>
      </c>
      <c r="J25" s="13"/>
      <c r="K25" s="12"/>
      <c r="L25" s="3"/>
      <c r="M25" s="6"/>
    </row>
    <row r="26" spans="2:13" s="2" customFormat="1" ht="13.8">
      <c r="B26" s="3"/>
      <c r="C26" s="11" t="s">
        <v>184</v>
      </c>
      <c r="D26" s="20" t="s">
        <v>186</v>
      </c>
      <c r="E26" s="13"/>
      <c r="F26" s="13"/>
      <c r="G26" s="13"/>
      <c r="H26" s="13"/>
      <c r="I26" s="12" t="s">
        <v>190</v>
      </c>
      <c r="J26" s="13"/>
      <c r="K26" s="12"/>
      <c r="L26" s="3"/>
      <c r="M26" s="6"/>
    </row>
    <row r="27" spans="2:13" s="2" customFormat="1" ht="13.8">
      <c r="B27" s="3"/>
      <c r="C27" s="11"/>
      <c r="D27" s="20"/>
      <c r="E27" s="13"/>
      <c r="F27" s="13"/>
      <c r="G27" s="13"/>
      <c r="H27" s="13"/>
      <c r="I27" s="12" t="s">
        <v>196</v>
      </c>
      <c r="J27" s="13"/>
      <c r="K27" s="12"/>
      <c r="L27" s="3"/>
      <c r="M27" s="6"/>
    </row>
    <row r="28" spans="2:13" s="2" customFormat="1" ht="13.8">
      <c r="B28" s="3"/>
      <c r="C28" s="21"/>
      <c r="D28" s="21"/>
      <c r="E28" s="13"/>
      <c r="F28" s="13"/>
      <c r="G28" s="13"/>
      <c r="H28" s="13"/>
      <c r="I28" s="13"/>
      <c r="J28" s="13"/>
      <c r="K28" s="12"/>
      <c r="L28" s="3"/>
      <c r="M28" s="6"/>
    </row>
    <row r="29" spans="2:13" s="2" customFormat="1" ht="13.8">
      <c r="B29" s="3"/>
      <c r="C29" s="11" t="s">
        <v>55</v>
      </c>
      <c r="D29" s="312" t="s">
        <v>152</v>
      </c>
      <c r="E29" s="13"/>
      <c r="F29" s="13"/>
      <c r="G29" s="13"/>
      <c r="H29" s="13"/>
      <c r="I29" s="12" t="s">
        <v>192</v>
      </c>
      <c r="J29" s="13"/>
      <c r="K29" s="12" t="s">
        <v>193</v>
      </c>
      <c r="L29" s="3"/>
      <c r="M29" s="6"/>
    </row>
    <row r="30" spans="2:13" s="2" customFormat="1" ht="13.8">
      <c r="B30" s="3"/>
      <c r="C30" s="11"/>
      <c r="D30" s="16"/>
      <c r="E30" s="13"/>
      <c r="F30" s="13"/>
      <c r="G30" s="13"/>
      <c r="H30" s="13"/>
      <c r="I30" s="13"/>
      <c r="J30" s="13"/>
      <c r="K30" s="12" t="s">
        <v>194</v>
      </c>
      <c r="L30" s="3"/>
      <c r="M30" s="6"/>
    </row>
    <row r="31" spans="2:13" s="2" customFormat="1" ht="13.8">
      <c r="B31" s="3"/>
      <c r="C31" s="11"/>
      <c r="D31" s="13"/>
      <c r="E31" s="13"/>
      <c r="F31" s="13"/>
      <c r="G31" s="13"/>
      <c r="H31" s="13"/>
      <c r="I31" s="13"/>
      <c r="J31" s="13"/>
      <c r="K31" s="12" t="s">
        <v>195</v>
      </c>
      <c r="L31" s="3"/>
      <c r="M31" s="6"/>
    </row>
    <row r="32" spans="2:13" s="2" customFormat="1" ht="13.8">
      <c r="B32" s="3"/>
      <c r="C32" s="21"/>
      <c r="D32" s="13"/>
      <c r="E32" s="13"/>
      <c r="F32" s="13"/>
      <c r="G32" s="13"/>
      <c r="H32" s="13"/>
      <c r="I32" s="13"/>
      <c r="J32" s="13"/>
      <c r="K32" s="343" t="str">
        <f>CONCATENATE("Model version ",D26,", Berlin, ",TEXT(D25,"TT.MM.JJ"))</f>
        <v>Model version 1.1, Berlin, 16.12.22</v>
      </c>
      <c r="L32" s="3"/>
      <c r="M32" s="6"/>
    </row>
    <row r="33" spans="2:13" ht="13.8">
      <c r="B33" s="22"/>
      <c r="C33" s="23"/>
      <c r="D33" s="24"/>
      <c r="E33" s="24"/>
      <c r="F33" s="24"/>
      <c r="G33" s="24"/>
      <c r="H33" s="24"/>
      <c r="I33" s="24"/>
      <c r="J33" s="24"/>
      <c r="K33" s="24"/>
      <c r="L33" s="22"/>
      <c r="M33" s="25"/>
    </row>
    <row r="34" spans="2:13">
      <c r="B34" s="22"/>
      <c r="C34" s="22"/>
      <c r="D34" s="22"/>
      <c r="E34" s="22"/>
      <c r="F34" s="22"/>
      <c r="G34" s="22"/>
      <c r="H34" s="22"/>
      <c r="I34" s="22"/>
      <c r="J34" s="22"/>
      <c r="K34" s="22"/>
      <c r="L34" s="22"/>
    </row>
  </sheetData>
  <sheetProtection algorithmName="SHA-512" hashValue="A0hXvhhgaB/4fuNl/jjUQF/1LslrTDAQN/Qh1vO+S4pj9RqYft7PcC3S8IKc5pn1zfmFQWUUjqBRwdDOfETXjw==" saltValue="oJuo+qUZjSGhqGIc4Ey9tA==" spinCount="100000" sheet="1" selectLockedCells="1"/>
  <hyperlinks>
    <hyperlink ref="D17" r:id="rId1" xr:uid="{00000000-0004-0000-0000-000001000000}"/>
    <hyperlink ref="D29" r:id="rId2" xr:uid="{00000000-0004-0000-0000-000002000000}"/>
    <hyperlink ref="G17" r:id="rId3" xr:uid="{00000000-0004-0000-0000-000003000000}"/>
    <hyperlink ref="K17" r:id="rId4" display="www.agora-energiewende.de" xr:uid="{00000000-0004-0000-0000-000000000000}"/>
  </hyperlinks>
  <printOptions horizontalCentered="1"/>
  <pageMargins left="0.39370078740157483" right="0.39370078740157483" top="0.39370078740157483" bottom="0.59055118110236227" header="0.19685039370078741" footer="0.19685039370078741"/>
  <pageSetup paperSize="9" orientation="landscape" verticalDpi="601"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D24"/>
  <sheetViews>
    <sheetView zoomScale="70" zoomScaleNormal="70" workbookViewId="0"/>
  </sheetViews>
  <sheetFormatPr baseColWidth="10" defaultColWidth="9" defaultRowHeight="13.2"/>
  <cols>
    <col min="1" max="2" width="3" style="1" customWidth="1"/>
    <col min="3" max="3" width="171.69921875" style="1" customWidth="1"/>
    <col min="4" max="4" width="3" style="1" customWidth="1"/>
    <col min="5" max="16384" width="9" style="1"/>
  </cols>
  <sheetData>
    <row r="2" spans="2:4">
      <c r="B2" s="22"/>
      <c r="C2" s="22"/>
      <c r="D2" s="22"/>
    </row>
    <row r="3" spans="2:4">
      <c r="B3" s="22"/>
      <c r="C3" s="22"/>
      <c r="D3" s="22"/>
    </row>
    <row r="4" spans="2:4">
      <c r="B4" s="22"/>
      <c r="C4" s="22"/>
      <c r="D4" s="22"/>
    </row>
    <row r="5" spans="2:4">
      <c r="B5" s="22"/>
      <c r="C5" s="22"/>
      <c r="D5" s="22"/>
    </row>
    <row r="6" spans="2:4">
      <c r="B6" s="22"/>
      <c r="C6" s="22"/>
      <c r="D6" s="22"/>
    </row>
    <row r="7" spans="2:4">
      <c r="B7" s="22"/>
      <c r="C7" s="22"/>
      <c r="D7" s="22"/>
    </row>
    <row r="8" spans="2:4">
      <c r="B8" s="22"/>
      <c r="C8" s="22"/>
      <c r="D8" s="22"/>
    </row>
    <row r="9" spans="2:4" ht="17.399999999999999">
      <c r="B9" s="22"/>
      <c r="C9" s="26" t="s">
        <v>199</v>
      </c>
      <c r="D9" s="21"/>
    </row>
    <row r="10" spans="2:4">
      <c r="B10" s="22"/>
      <c r="C10" s="22"/>
      <c r="D10" s="22"/>
    </row>
    <row r="11" spans="2:4">
      <c r="B11" s="22"/>
      <c r="C11" s="27"/>
      <c r="D11" s="22"/>
    </row>
    <row r="12" spans="2:4" s="28" customFormat="1">
      <c r="B12" s="21"/>
      <c r="C12" s="346" t="s">
        <v>198</v>
      </c>
      <c r="D12" s="21"/>
    </row>
    <row r="13" spans="2:4" s="28" customFormat="1">
      <c r="B13" s="21"/>
      <c r="C13" s="29"/>
      <c r="D13" s="21"/>
    </row>
    <row r="14" spans="2:4" s="28" customFormat="1" ht="264.60000000000002" customHeight="1">
      <c r="B14" s="21"/>
      <c r="C14" s="290" t="s">
        <v>202</v>
      </c>
      <c r="D14" s="21"/>
    </row>
    <row r="15" spans="2:4" s="28" customFormat="1">
      <c r="B15" s="21"/>
      <c r="C15" s="30"/>
      <c r="D15" s="21"/>
    </row>
    <row r="16" spans="2:4" s="28" customFormat="1">
      <c r="B16" s="21"/>
      <c r="C16" s="29" t="s">
        <v>197</v>
      </c>
      <c r="D16" s="21"/>
    </row>
    <row r="17" spans="2:4" s="28" customFormat="1">
      <c r="B17" s="21"/>
      <c r="C17" s="29"/>
      <c r="D17" s="21"/>
    </row>
    <row r="18" spans="2:4" s="28" customFormat="1" ht="104.55" customHeight="1">
      <c r="B18" s="21"/>
      <c r="C18" s="349" t="s">
        <v>201</v>
      </c>
      <c r="D18" s="21"/>
    </row>
    <row r="19" spans="2:4" s="28" customFormat="1">
      <c r="B19" s="21"/>
      <c r="C19" s="31"/>
      <c r="D19" s="21"/>
    </row>
    <row r="20" spans="2:4" s="28" customFormat="1">
      <c r="B20" s="21"/>
      <c r="C20" s="32" t="s">
        <v>203</v>
      </c>
      <c r="D20" s="21"/>
    </row>
    <row r="21" spans="2:4" s="28" customFormat="1">
      <c r="B21" s="21"/>
      <c r="C21" s="32"/>
      <c r="D21" s="21"/>
    </row>
    <row r="22" spans="2:4" s="28" customFormat="1" ht="83.7" customHeight="1">
      <c r="B22" s="21"/>
      <c r="C22" s="290" t="s">
        <v>200</v>
      </c>
      <c r="D22" s="21"/>
    </row>
    <row r="23" spans="2:4">
      <c r="B23" s="22"/>
      <c r="C23" s="55"/>
      <c r="D23" s="22"/>
    </row>
    <row r="24" spans="2:4">
      <c r="B24" s="309"/>
      <c r="C24" s="309"/>
      <c r="D24" s="309"/>
    </row>
  </sheetData>
  <sheetProtection algorithmName="SHA-512" hashValue="A1TcaVPVo+rBdtBwKCGruV8VW/0Lp/ao3pmuT1tOcSld9+JB7wEPM3mpGPskABodELP/UPaeKlJz3pYecuBgaA==" saltValue="m2JBMCHWyXJ6/2IZkOkcsw==" spinCount="100000" sheet="1" objects="1" scenarios="1"/>
  <printOptions horizontalCentered="1"/>
  <pageMargins left="0.39370078740157483" right="0.39370078740157483" top="0.39370078740157483" bottom="0.59055118110236227" header="0.19685039370078741" footer="0.19685039370078741"/>
  <pageSetup paperSize="9" orientation="landscape" verticalDpi="60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U57"/>
  <sheetViews>
    <sheetView zoomScale="70" zoomScaleNormal="85" workbookViewId="0">
      <pane xSplit="3" ySplit="8" topLeftCell="D9" activePane="bottomRight" state="frozen"/>
      <selection pane="topRight" activeCell="B1" sqref="B1"/>
      <selection pane="bottomLeft" activeCell="A4" sqref="A4"/>
      <selection pane="bottomRight"/>
    </sheetView>
  </sheetViews>
  <sheetFormatPr baseColWidth="10" defaultColWidth="9.19921875" defaultRowHeight="13.2"/>
  <cols>
    <col min="1" max="2" width="3" style="81" customWidth="1"/>
    <col min="3" max="3" width="36.296875" style="70" customWidth="1"/>
    <col min="4" max="4" width="9.19921875" style="189"/>
    <col min="5" max="5" width="9.19921875" style="70"/>
    <col min="6" max="6" width="11.19921875" style="194" customWidth="1"/>
    <col min="7" max="7" width="9.19921875" style="70"/>
    <col min="8" max="8" width="10.19921875" style="147" bestFit="1" customWidth="1"/>
    <col min="9" max="9" width="3" style="147" customWidth="1"/>
    <col min="10" max="10" width="10" style="70" hidden="1" customWidth="1"/>
    <col min="11" max="11" width="9.19921875" style="70"/>
    <col min="12" max="12" width="3" style="70" customWidth="1"/>
    <col min="13" max="13" width="14.5" style="70" customWidth="1"/>
    <col min="14" max="14" width="9.19921875" style="189"/>
    <col min="15" max="15" width="9.19921875" style="70"/>
    <col min="16" max="16" width="12" style="194" customWidth="1"/>
    <col min="17" max="17" width="9.19921875" style="70"/>
    <col min="18" max="18" width="14.19921875" style="147" customWidth="1"/>
    <col min="19" max="19" width="9.19921875" style="189"/>
    <col min="20" max="20" width="6.69921875" style="70" bestFit="1" customWidth="1"/>
    <col min="21" max="21" width="3.19921875" style="70" customWidth="1"/>
    <col min="22" max="22" width="13.19921875" style="70" hidden="1" customWidth="1"/>
    <col min="23" max="23" width="9.19921875" style="70"/>
    <col min="24" max="24" width="3" style="70" customWidth="1"/>
    <col min="25" max="25" width="14.69921875" style="70" customWidth="1"/>
    <col min="26" max="26" width="17.19921875" style="189" bestFit="1" customWidth="1"/>
    <col min="27" max="27" width="8.8984375" style="70" customWidth="1"/>
    <col min="28" max="28" width="11" style="147" customWidth="1"/>
    <col min="29" max="29" width="9.3984375" style="70" bestFit="1" customWidth="1"/>
    <col min="30" max="30" width="14.19921875" style="147" customWidth="1"/>
    <col min="31" max="31" width="9.19921875" style="189"/>
    <col min="32" max="32" width="6.69921875" style="70" bestFit="1" customWidth="1"/>
    <col min="33" max="33" width="3" style="70" customWidth="1"/>
    <col min="34" max="34" width="21.19921875" style="70" hidden="1" customWidth="1"/>
    <col min="35" max="35" width="9.19921875" style="81"/>
    <col min="36" max="36" width="3" style="81" customWidth="1"/>
    <col min="37" max="37" width="13.5" style="81" customWidth="1"/>
    <col min="38" max="38" width="9.19921875" style="189"/>
    <col min="39" max="39" width="10.19921875" style="70" bestFit="1" customWidth="1"/>
    <col min="40" max="40" width="10.5" style="147" customWidth="1"/>
    <col min="41" max="41" width="10" style="70" bestFit="1" customWidth="1"/>
    <col min="42" max="42" width="14.19921875" style="147" customWidth="1"/>
    <col min="43" max="43" width="9.19921875" style="189"/>
    <col min="44" max="44" width="6.69921875" style="70" bestFit="1" customWidth="1"/>
    <col min="45" max="45" width="3.19921875" style="70" customWidth="1"/>
    <col min="46" max="46" width="21.69921875" style="70" hidden="1" customWidth="1"/>
    <col min="47" max="47" width="9.19921875" style="81"/>
    <col min="48" max="16384" width="9.19921875" style="70"/>
  </cols>
  <sheetData>
    <row r="2" spans="1:46">
      <c r="B2" s="53"/>
      <c r="C2" s="53"/>
      <c r="D2" s="184"/>
      <c r="E2" s="53"/>
      <c r="F2" s="191"/>
      <c r="G2" s="53"/>
      <c r="H2" s="134"/>
      <c r="I2" s="134"/>
      <c r="J2" s="81"/>
      <c r="K2" s="81"/>
      <c r="L2" s="53"/>
      <c r="M2" s="53"/>
      <c r="N2" s="184"/>
      <c r="O2" s="53"/>
      <c r="P2" s="191"/>
      <c r="Q2" s="53"/>
      <c r="R2" s="134"/>
      <c r="S2" s="184"/>
      <c r="T2" s="53"/>
      <c r="U2" s="53"/>
      <c r="W2" s="81"/>
      <c r="X2" s="53"/>
      <c r="Y2" s="53"/>
      <c r="Z2" s="184"/>
      <c r="AA2" s="53"/>
      <c r="AB2" s="134"/>
      <c r="AC2" s="53"/>
      <c r="AD2" s="134"/>
      <c r="AE2" s="184"/>
      <c r="AF2" s="53"/>
      <c r="AG2" s="53"/>
      <c r="AH2" s="81"/>
      <c r="AJ2" s="53"/>
      <c r="AK2" s="53"/>
      <c r="AL2" s="184"/>
      <c r="AM2" s="53"/>
      <c r="AN2" s="134"/>
      <c r="AO2" s="53"/>
      <c r="AP2" s="133"/>
      <c r="AQ2" s="184"/>
      <c r="AR2" s="53"/>
      <c r="AS2" s="53"/>
      <c r="AT2" s="81"/>
    </row>
    <row r="3" spans="1:46" ht="17.399999999999999">
      <c r="B3" s="53"/>
      <c r="C3" s="165" t="s">
        <v>238</v>
      </c>
      <c r="D3" s="185"/>
      <c r="E3" s="363" t="s">
        <v>239</v>
      </c>
      <c r="F3" s="363"/>
      <c r="G3" s="363"/>
      <c r="H3" s="363"/>
      <c r="I3" s="165"/>
      <c r="J3" s="200"/>
      <c r="K3" s="152"/>
      <c r="L3" s="125"/>
      <c r="M3" s="360" t="s">
        <v>248</v>
      </c>
      <c r="N3" s="360"/>
      <c r="O3" s="360"/>
      <c r="P3" s="360"/>
      <c r="Q3" s="360"/>
      <c r="R3" s="360"/>
      <c r="S3" s="360"/>
      <c r="T3" s="360"/>
      <c r="U3" s="165"/>
      <c r="V3" s="152"/>
      <c r="W3" s="81"/>
      <c r="X3" s="53"/>
      <c r="Y3" s="360" t="s">
        <v>14</v>
      </c>
      <c r="Z3" s="360"/>
      <c r="AA3" s="360"/>
      <c r="AB3" s="360"/>
      <c r="AC3" s="360"/>
      <c r="AD3" s="360"/>
      <c r="AE3" s="360"/>
      <c r="AF3" s="360"/>
      <c r="AG3" s="165"/>
      <c r="AH3" s="152"/>
      <c r="AJ3" s="53"/>
      <c r="AK3" s="360" t="s">
        <v>15</v>
      </c>
      <c r="AL3" s="360"/>
      <c r="AM3" s="360"/>
      <c r="AN3" s="360"/>
      <c r="AO3" s="360"/>
      <c r="AP3" s="360"/>
      <c r="AQ3" s="360"/>
      <c r="AR3" s="360"/>
      <c r="AS3" s="165"/>
      <c r="AT3" s="152"/>
    </row>
    <row r="4" spans="1:46" ht="17.399999999999999">
      <c r="B4" s="53"/>
      <c r="C4" s="53"/>
      <c r="D4" s="183"/>
      <c r="E4" s="125"/>
      <c r="F4" s="192"/>
      <c r="G4" s="125"/>
      <c r="H4" s="129"/>
      <c r="I4" s="129"/>
      <c r="J4" s="152"/>
      <c r="K4" s="152"/>
      <c r="L4" s="125"/>
      <c r="M4" s="125"/>
      <c r="N4" s="185"/>
      <c r="O4" s="165"/>
      <c r="P4" s="199"/>
      <c r="Q4" s="165"/>
      <c r="R4" s="165"/>
      <c r="S4" s="185"/>
      <c r="T4" s="165"/>
      <c r="U4" s="165"/>
      <c r="V4" s="152"/>
      <c r="W4" s="81"/>
      <c r="X4" s="53"/>
      <c r="Y4" s="53"/>
      <c r="Z4" s="185"/>
      <c r="AA4" s="165"/>
      <c r="AB4" s="202"/>
      <c r="AC4" s="165"/>
      <c r="AD4" s="202"/>
      <c r="AE4" s="185"/>
      <c r="AF4" s="165"/>
      <c r="AG4" s="165"/>
      <c r="AH4" s="152"/>
      <c r="AJ4" s="53"/>
      <c r="AK4" s="53"/>
      <c r="AL4" s="185"/>
      <c r="AM4" s="165"/>
      <c r="AN4" s="202"/>
      <c r="AO4" s="165"/>
      <c r="AP4" s="202"/>
      <c r="AQ4" s="185"/>
      <c r="AR4" s="165"/>
      <c r="AS4" s="165"/>
      <c r="AT4" s="152"/>
    </row>
    <row r="5" spans="1:46" ht="127.2" customHeight="1">
      <c r="B5" s="53"/>
      <c r="C5" s="134" t="s">
        <v>244</v>
      </c>
      <c r="D5" s="183"/>
      <c r="E5" s="125"/>
      <c r="F5" s="192"/>
      <c r="G5" s="125"/>
      <c r="H5" s="129"/>
      <c r="I5" s="129"/>
      <c r="J5" s="152"/>
      <c r="K5" s="152"/>
      <c r="L5" s="125"/>
      <c r="M5" s="125"/>
      <c r="N5" s="185"/>
      <c r="O5" s="165"/>
      <c r="P5" s="199"/>
      <c r="Q5" s="165"/>
      <c r="R5" s="165"/>
      <c r="S5" s="185"/>
      <c r="T5" s="165"/>
      <c r="U5" s="165"/>
      <c r="V5" s="152"/>
      <c r="W5" s="81"/>
      <c r="X5" s="53"/>
      <c r="Y5" s="53"/>
      <c r="Z5" s="185"/>
      <c r="AA5" s="165"/>
      <c r="AB5" s="202"/>
      <c r="AC5" s="165"/>
      <c r="AD5" s="202"/>
      <c r="AE5" s="185"/>
      <c r="AF5" s="165"/>
      <c r="AG5" s="165"/>
      <c r="AH5" s="152"/>
      <c r="AJ5" s="53"/>
      <c r="AK5" s="53"/>
      <c r="AL5" s="185"/>
      <c r="AM5" s="165"/>
      <c r="AN5" s="202"/>
      <c r="AO5" s="165"/>
      <c r="AP5" s="202"/>
      <c r="AQ5" s="185"/>
      <c r="AR5" s="165"/>
      <c r="AS5" s="165"/>
      <c r="AT5" s="152"/>
    </row>
    <row r="6" spans="1:46" ht="13.95" customHeight="1">
      <c r="B6" s="53"/>
      <c r="C6" s="53"/>
      <c r="D6" s="183"/>
      <c r="E6" s="125"/>
      <c r="F6" s="192"/>
      <c r="G6" s="125"/>
      <c r="H6" s="129"/>
      <c r="I6" s="129"/>
      <c r="J6" s="152"/>
      <c r="K6" s="152"/>
      <c r="L6" s="125"/>
      <c r="M6" s="125"/>
      <c r="N6" s="185"/>
      <c r="O6" s="165"/>
      <c r="P6" s="199"/>
      <c r="Q6" s="165"/>
      <c r="R6" s="129"/>
      <c r="S6" s="185"/>
      <c r="T6" s="165"/>
      <c r="U6" s="165"/>
      <c r="V6" s="152"/>
      <c r="W6" s="81"/>
      <c r="X6" s="53"/>
      <c r="Y6" s="53"/>
      <c r="Z6" s="183"/>
      <c r="AA6" s="125"/>
      <c r="AB6" s="129"/>
      <c r="AC6" s="125"/>
      <c r="AD6" s="129"/>
      <c r="AE6" s="183"/>
      <c r="AF6" s="125"/>
      <c r="AG6" s="125"/>
      <c r="AH6" s="152"/>
      <c r="AJ6" s="53"/>
      <c r="AK6" s="53"/>
      <c r="AL6" s="183"/>
      <c r="AM6" s="125"/>
      <c r="AN6" s="129"/>
      <c r="AO6" s="125"/>
      <c r="AP6" s="129"/>
      <c r="AQ6" s="183"/>
      <c r="AR6" s="125"/>
      <c r="AS6" s="125"/>
      <c r="AT6" s="152"/>
    </row>
    <row r="7" spans="1:46">
      <c r="B7" s="53"/>
      <c r="C7" s="125"/>
      <c r="D7" s="358" t="s">
        <v>241</v>
      </c>
      <c r="E7" s="358"/>
      <c r="F7" s="358"/>
      <c r="G7" s="358"/>
      <c r="H7" s="358"/>
      <c r="I7" s="125"/>
      <c r="J7" s="152"/>
      <c r="K7" s="152"/>
      <c r="L7" s="125"/>
      <c r="M7" s="125"/>
      <c r="N7" s="358" t="s">
        <v>246</v>
      </c>
      <c r="O7" s="358"/>
      <c r="P7" s="358"/>
      <c r="Q7" s="358"/>
      <c r="R7" s="129"/>
      <c r="S7" s="361" t="s">
        <v>247</v>
      </c>
      <c r="T7" s="361"/>
      <c r="U7" s="125"/>
      <c r="V7" s="152"/>
      <c r="W7" s="81"/>
      <c r="X7" s="53"/>
      <c r="Y7" s="53"/>
      <c r="Z7" s="361" t="s">
        <v>246</v>
      </c>
      <c r="AA7" s="361"/>
      <c r="AB7" s="361"/>
      <c r="AC7" s="361"/>
      <c r="AD7" s="129"/>
      <c r="AE7" s="361" t="s">
        <v>247</v>
      </c>
      <c r="AF7" s="361"/>
      <c r="AG7" s="125"/>
      <c r="AH7" s="152"/>
      <c r="AJ7" s="53"/>
      <c r="AK7" s="53"/>
      <c r="AL7" s="361" t="s">
        <v>246</v>
      </c>
      <c r="AM7" s="361"/>
      <c r="AN7" s="361"/>
      <c r="AO7" s="361"/>
      <c r="AP7" s="129"/>
      <c r="AQ7" s="361" t="s">
        <v>247</v>
      </c>
      <c r="AR7" s="361"/>
      <c r="AS7" s="125"/>
      <c r="AT7" s="152"/>
    </row>
    <row r="8" spans="1:46" ht="26.4">
      <c r="B8" s="53"/>
      <c r="C8" s="125"/>
      <c r="D8" s="184" t="s">
        <v>25</v>
      </c>
      <c r="E8" s="53" t="s">
        <v>240</v>
      </c>
      <c r="F8" s="191" t="s">
        <v>242</v>
      </c>
      <c r="G8" s="53" t="s">
        <v>240</v>
      </c>
      <c r="H8" s="134" t="s">
        <v>243</v>
      </c>
      <c r="I8" s="134"/>
      <c r="J8" s="150" t="s">
        <v>42</v>
      </c>
      <c r="K8" s="81"/>
      <c r="L8" s="53"/>
      <c r="M8" s="53"/>
      <c r="N8" s="184" t="s">
        <v>25</v>
      </c>
      <c r="O8" s="53" t="s">
        <v>240</v>
      </c>
      <c r="P8" s="191" t="s">
        <v>242</v>
      </c>
      <c r="Q8" s="53" t="s">
        <v>240</v>
      </c>
      <c r="R8" s="134" t="s">
        <v>245</v>
      </c>
      <c r="S8" s="184"/>
      <c r="T8" s="53" t="s">
        <v>240</v>
      </c>
      <c r="U8" s="53"/>
      <c r="V8" s="150" t="s">
        <v>42</v>
      </c>
      <c r="W8" s="81"/>
      <c r="X8" s="53"/>
      <c r="Y8" s="53"/>
      <c r="Z8" s="184" t="s">
        <v>25</v>
      </c>
      <c r="AA8" s="53" t="s">
        <v>240</v>
      </c>
      <c r="AB8" s="134" t="s">
        <v>242</v>
      </c>
      <c r="AC8" s="53" t="s">
        <v>240</v>
      </c>
      <c r="AD8" s="134" t="s">
        <v>245</v>
      </c>
      <c r="AE8" s="184"/>
      <c r="AF8" s="53" t="s">
        <v>240</v>
      </c>
      <c r="AG8" s="53"/>
      <c r="AH8" s="150" t="s">
        <v>42</v>
      </c>
      <c r="AJ8" s="53"/>
      <c r="AK8" s="53"/>
      <c r="AL8" s="184" t="s">
        <v>25</v>
      </c>
      <c r="AM8" s="53" t="s">
        <v>240</v>
      </c>
      <c r="AN8" s="134" t="s">
        <v>242</v>
      </c>
      <c r="AO8" s="53" t="s">
        <v>240</v>
      </c>
      <c r="AP8" s="134" t="s">
        <v>245</v>
      </c>
      <c r="AQ8" s="184"/>
      <c r="AR8" s="53" t="s">
        <v>240</v>
      </c>
      <c r="AS8" s="53"/>
      <c r="AT8" s="150" t="s">
        <v>42</v>
      </c>
    </row>
    <row r="9" spans="1:46">
      <c r="B9" s="53"/>
      <c r="C9" s="166" t="s">
        <v>9</v>
      </c>
      <c r="D9" s="190"/>
      <c r="E9" s="53"/>
      <c r="F9" s="191"/>
      <c r="G9" s="53"/>
      <c r="H9" s="134"/>
      <c r="I9" s="141"/>
      <c r="J9" s="205"/>
      <c r="K9" s="81"/>
      <c r="L9" s="53"/>
      <c r="M9" s="62"/>
      <c r="N9" s="208"/>
      <c r="O9" s="62"/>
      <c r="P9" s="215"/>
      <c r="Q9" s="62"/>
      <c r="R9" s="141"/>
      <c r="S9" s="208"/>
      <c r="T9" s="62"/>
      <c r="U9" s="62"/>
      <c r="V9" s="205"/>
      <c r="W9" s="81"/>
      <c r="X9" s="53"/>
      <c r="Y9" s="53"/>
      <c r="Z9" s="184"/>
      <c r="AA9" s="53"/>
      <c r="AB9" s="134"/>
      <c r="AC9" s="53"/>
      <c r="AD9" s="134"/>
      <c r="AE9" s="184"/>
      <c r="AF9" s="53"/>
      <c r="AG9" s="53"/>
      <c r="AH9" s="81"/>
      <c r="AJ9" s="53"/>
      <c r="AK9" s="53"/>
      <c r="AL9" s="184"/>
      <c r="AM9" s="53"/>
      <c r="AN9" s="134"/>
      <c r="AO9" s="53"/>
      <c r="AP9" s="134"/>
      <c r="AQ9" s="184"/>
      <c r="AR9" s="53"/>
      <c r="AS9" s="53"/>
      <c r="AT9" s="250"/>
    </row>
    <row r="10" spans="1:46">
      <c r="B10" s="53"/>
      <c r="C10" s="167" t="s">
        <v>208</v>
      </c>
      <c r="D10" s="241">
        <f>Input_Prices!L16</f>
        <v>200</v>
      </c>
      <c r="E10" s="53" t="s">
        <v>6</v>
      </c>
      <c r="F10" s="243"/>
      <c r="G10" s="53" t="str">
        <f t="shared" ref="G10:G22" si="0">E10</f>
        <v>€/t</v>
      </c>
      <c r="H10" s="168"/>
      <c r="I10" s="222"/>
      <c r="J10" s="248">
        <f>IF(OR(ISNA(VLOOKUP(Calculator!C10,Results!$N$50:$R$54,5,FALSE)),ISBLANK(VLOOKUP(Calculator!C10,Results!$N$50:$R$54,5,FALSE))),IF($F10,$F10,D10),VLOOKUP(Calculator!C10,Results!$N$50:$R$54,5,FALSE))</f>
        <v>200</v>
      </c>
      <c r="K10" s="81"/>
      <c r="L10" s="53"/>
      <c r="M10" s="62"/>
      <c r="N10" s="207">
        <f>Input_Processes!F24-Input_Processes!F29</f>
        <v>0.39500000000000002</v>
      </c>
      <c r="O10" s="62" t="s">
        <v>249</v>
      </c>
      <c r="P10" s="216"/>
      <c r="Q10" s="62" t="str">
        <f>O10</f>
        <v>t/t CS</v>
      </c>
      <c r="R10" s="211"/>
      <c r="S10" s="207">
        <f t="shared" ref="S10:S22" si="1">V10*$J10</f>
        <v>79</v>
      </c>
      <c r="T10" s="62" t="s">
        <v>252</v>
      </c>
      <c r="U10" s="62"/>
      <c r="V10" s="204">
        <f>IF(P10,P10,N10)</f>
        <v>0.39500000000000002</v>
      </c>
      <c r="W10" s="81"/>
      <c r="X10" s="53"/>
      <c r="Y10" s="53"/>
      <c r="Z10" s="207">
        <v>0</v>
      </c>
      <c r="AA10" s="62" t="s">
        <v>249</v>
      </c>
      <c r="AB10" s="211"/>
      <c r="AC10" s="62" t="str">
        <f>AA10</f>
        <v>t/t CS</v>
      </c>
      <c r="AD10" s="211"/>
      <c r="AE10" s="207">
        <f t="shared" ref="AE10:AE22" si="2">AH10*$J10</f>
        <v>0</v>
      </c>
      <c r="AF10" s="62" t="s">
        <v>252</v>
      </c>
      <c r="AG10" s="53"/>
      <c r="AH10" s="248">
        <f>IF(AB10,AB10,Z10)</f>
        <v>0</v>
      </c>
      <c r="AJ10" s="53"/>
      <c r="AK10" s="53"/>
      <c r="AL10" s="207">
        <v>0</v>
      </c>
      <c r="AM10" s="62" t="s">
        <v>249</v>
      </c>
      <c r="AN10" s="168"/>
      <c r="AO10" s="62" t="str">
        <f>AM10</f>
        <v>t/t CS</v>
      </c>
      <c r="AP10" s="168"/>
      <c r="AQ10" s="207">
        <f t="shared" ref="AQ10:AQ22" si="3">AT10*$J10</f>
        <v>0</v>
      </c>
      <c r="AR10" s="62" t="s">
        <v>252</v>
      </c>
      <c r="AS10" s="62"/>
      <c r="AT10" s="248">
        <f t="shared" ref="AT10:AT22" si="4">IF(ISBLANK(AN10),AL10,AN10)</f>
        <v>0</v>
      </c>
    </row>
    <row r="11" spans="1:46">
      <c r="B11" s="53"/>
      <c r="C11" s="167" t="s">
        <v>209</v>
      </c>
      <c r="D11" s="241">
        <f>Input_Prices!L17</f>
        <v>110.00000000000001</v>
      </c>
      <c r="E11" s="53" t="s">
        <v>6</v>
      </c>
      <c r="F11" s="243"/>
      <c r="G11" s="53" t="str">
        <f t="shared" si="0"/>
        <v>€/t</v>
      </c>
      <c r="H11" s="168"/>
      <c r="I11" s="222"/>
      <c r="J11" s="248">
        <f>IF(OR(ISNA(VLOOKUP(Calculator!C11,Results!$N$50:$R$54,5,FALSE)),ISBLANK(VLOOKUP(Calculator!C11,Results!$N$50:$R$54,5,FALSE))),IF($F11,$F11,D11),VLOOKUP(Calculator!C11,Results!$N$50:$R$54,5,FALSE))</f>
        <v>110.00000000000001</v>
      </c>
      <c r="K11" s="81"/>
      <c r="L11" s="53"/>
      <c r="M11" s="62"/>
      <c r="N11" s="207">
        <f>Input_Processes!F29</f>
        <v>0.16500000000000001</v>
      </c>
      <c r="O11" s="62" t="s">
        <v>249</v>
      </c>
      <c r="P11" s="216"/>
      <c r="Q11" s="62" t="str">
        <f t="shared" ref="Q11:Q26" si="5">O11</f>
        <v>t/t CS</v>
      </c>
      <c r="R11" s="211"/>
      <c r="S11" s="210">
        <f t="shared" si="1"/>
        <v>18.150000000000002</v>
      </c>
      <c r="T11" s="62" t="s">
        <v>252</v>
      </c>
      <c r="U11" s="62"/>
      <c r="V11" s="204">
        <f>IF(P11,P11,N11)</f>
        <v>0.16500000000000001</v>
      </c>
      <c r="W11" s="81"/>
      <c r="X11" s="53"/>
      <c r="Y11" s="53"/>
      <c r="Z11" s="207">
        <v>0</v>
      </c>
      <c r="AA11" s="62" t="s">
        <v>249</v>
      </c>
      <c r="AB11" s="211"/>
      <c r="AC11" s="62" t="str">
        <f t="shared" ref="AC11:AC22" si="6">AA11</f>
        <v>t/t CS</v>
      </c>
      <c r="AD11" s="211"/>
      <c r="AE11" s="207">
        <f t="shared" si="2"/>
        <v>0</v>
      </c>
      <c r="AF11" s="62" t="s">
        <v>252</v>
      </c>
      <c r="AG11" s="53"/>
      <c r="AH11" s="248">
        <f>IF(AB11,AB11,Z11)</f>
        <v>0</v>
      </c>
      <c r="AJ11" s="53"/>
      <c r="AK11" s="53"/>
      <c r="AL11" s="207">
        <v>0</v>
      </c>
      <c r="AM11" s="62" t="s">
        <v>249</v>
      </c>
      <c r="AN11" s="168"/>
      <c r="AO11" s="62" t="str">
        <f t="shared" ref="AO11:AO22" si="7">AM11</f>
        <v>t/t CS</v>
      </c>
      <c r="AP11" s="168"/>
      <c r="AQ11" s="207">
        <f t="shared" si="3"/>
        <v>0</v>
      </c>
      <c r="AR11" s="62" t="s">
        <v>252</v>
      </c>
      <c r="AS11" s="62"/>
      <c r="AT11" s="248">
        <f t="shared" si="4"/>
        <v>0</v>
      </c>
    </row>
    <row r="12" spans="1:46">
      <c r="B12" s="53"/>
      <c r="C12" s="167" t="s">
        <v>210</v>
      </c>
      <c r="D12" s="241">
        <f>Input_Prices!L12</f>
        <v>35</v>
      </c>
      <c r="E12" s="53" t="s">
        <v>3</v>
      </c>
      <c r="F12" s="243"/>
      <c r="G12" s="53" t="str">
        <f t="shared" si="0"/>
        <v>€/MWh</v>
      </c>
      <c r="H12" s="168"/>
      <c r="I12" s="222"/>
      <c r="J12" s="248">
        <f>IF(OR(ISNA(VLOOKUP(Calculator!C12,Results!$N$50:$R$54,5,FALSE)),ISBLANK(VLOOKUP(Calculator!C12,Results!$N$50:$R$54,5,FALSE))),IF($F12,$F12,D12),VLOOKUP(Calculator!C12,Results!$N$50:$R$54,5,FALSE))</f>
        <v>35</v>
      </c>
      <c r="K12" s="81"/>
      <c r="L12" s="53"/>
      <c r="M12" s="62"/>
      <c r="N12" s="207">
        <f>Input_Processes!F25/3600</f>
        <v>0.16980435585086745</v>
      </c>
      <c r="O12" s="62" t="s">
        <v>250</v>
      </c>
      <c r="P12" s="216"/>
      <c r="Q12" s="62" t="str">
        <f t="shared" si="5"/>
        <v>MWh/t CS.</v>
      </c>
      <c r="R12" s="211"/>
      <c r="S12" s="207">
        <f t="shared" si="1"/>
        <v>5.9431524547803605</v>
      </c>
      <c r="T12" s="62" t="s">
        <v>252</v>
      </c>
      <c r="U12" s="62"/>
      <c r="V12" s="204">
        <f t="shared" ref="V12:V22" si="8">IF(ISBLANK(P12),N12,P12)</f>
        <v>0.16980435585086745</v>
      </c>
      <c r="W12" s="81"/>
      <c r="X12" s="53"/>
      <c r="Y12" s="53"/>
      <c r="Z12" s="207">
        <f>Input_Processes!F81/1000*11.3</f>
        <v>2.9387434210526315</v>
      </c>
      <c r="AA12" s="62" t="s">
        <v>251</v>
      </c>
      <c r="AB12" s="211"/>
      <c r="AC12" s="62" t="str">
        <f t="shared" si="6"/>
        <v>MWh/t CS</v>
      </c>
      <c r="AD12" s="211"/>
      <c r="AE12" s="207">
        <f t="shared" si="2"/>
        <v>102.8560197368421</v>
      </c>
      <c r="AF12" s="62" t="s">
        <v>252</v>
      </c>
      <c r="AG12" s="53"/>
      <c r="AH12" s="248">
        <f>IF(AB12,AB12,Z12)</f>
        <v>2.9387434210526315</v>
      </c>
      <c r="AJ12" s="53"/>
      <c r="AK12" s="53"/>
      <c r="AL12" s="255">
        <f>(Input_Processes!F150)/1000*11.3</f>
        <v>0.56500000000000006</v>
      </c>
      <c r="AM12" s="62" t="s">
        <v>251</v>
      </c>
      <c r="AN12" s="168"/>
      <c r="AO12" s="62" t="str">
        <f t="shared" si="7"/>
        <v>MWh/t CS</v>
      </c>
      <c r="AP12" s="168"/>
      <c r="AQ12" s="207">
        <f t="shared" si="3"/>
        <v>19.775000000000002</v>
      </c>
      <c r="AR12" s="62" t="s">
        <v>252</v>
      </c>
      <c r="AS12" s="62"/>
      <c r="AT12" s="248">
        <f t="shared" si="4"/>
        <v>0.56500000000000006</v>
      </c>
    </row>
    <row r="13" spans="1:46" ht="39.6">
      <c r="B13" s="53"/>
      <c r="C13" s="167" t="s">
        <v>211</v>
      </c>
      <c r="D13" s="241">
        <f>Input_Prices!L15</f>
        <v>60</v>
      </c>
      <c r="E13" s="53" t="s">
        <v>3</v>
      </c>
      <c r="F13" s="243"/>
      <c r="G13" s="53" t="str">
        <f t="shared" si="0"/>
        <v>€/MWh</v>
      </c>
      <c r="H13" s="168"/>
      <c r="I13" s="222"/>
      <c r="J13" s="248">
        <f>IF(OR(ISNA(VLOOKUP(Calculator!C13,Results!$N$50:$R$54,5,FALSE)),ISBLANK(VLOOKUP(Calculator!C13,Results!$N$50:$R$54,5,FALSE))),IF($F13,$F13,D13),VLOOKUP(Calculator!C13,Results!$N$50:$R$54,5,FALSE))</f>
        <v>60</v>
      </c>
      <c r="K13" s="81"/>
      <c r="L13" s="53"/>
      <c r="M13" s="141" t="s">
        <v>257</v>
      </c>
      <c r="N13" s="208">
        <v>0</v>
      </c>
      <c r="O13" s="62" t="s">
        <v>251</v>
      </c>
      <c r="P13" s="216"/>
      <c r="Q13" s="62" t="str">
        <f t="shared" si="5"/>
        <v>MWh/t CS</v>
      </c>
      <c r="R13" s="211"/>
      <c r="S13" s="207">
        <f t="shared" si="1"/>
        <v>0</v>
      </c>
      <c r="T13" s="62" t="s">
        <v>263</v>
      </c>
      <c r="U13" s="62"/>
      <c r="V13" s="204">
        <f t="shared" si="8"/>
        <v>0</v>
      </c>
      <c r="W13" s="81"/>
      <c r="X13" s="53"/>
      <c r="Y13" s="53"/>
      <c r="Z13" s="304">
        <f>Input_Processes!F91</f>
        <v>0.68524999999999991</v>
      </c>
      <c r="AA13" s="62" t="s">
        <v>264</v>
      </c>
      <c r="AB13" s="211"/>
      <c r="AC13" s="62" t="str">
        <f t="shared" si="6"/>
        <v>MWh/t Cs</v>
      </c>
      <c r="AD13" s="211"/>
      <c r="AE13" s="207">
        <f t="shared" si="2"/>
        <v>41.114999999999995</v>
      </c>
      <c r="AF13" s="62" t="s">
        <v>252</v>
      </c>
      <c r="AG13" s="53"/>
      <c r="AH13" s="248">
        <f>IF(AB13,AB13,Z13)</f>
        <v>0.68524999999999991</v>
      </c>
      <c r="AJ13" s="53"/>
      <c r="AK13" s="53"/>
      <c r="AL13" s="207">
        <f>Input_Processes!F161</f>
        <v>0.68524999999999991</v>
      </c>
      <c r="AM13" s="62" t="s">
        <v>251</v>
      </c>
      <c r="AN13" s="168"/>
      <c r="AO13" s="62" t="str">
        <f t="shared" si="7"/>
        <v>MWh/t CS</v>
      </c>
      <c r="AP13" s="168"/>
      <c r="AQ13" s="207">
        <f t="shared" si="3"/>
        <v>41.114999999999995</v>
      </c>
      <c r="AR13" s="62" t="s">
        <v>252</v>
      </c>
      <c r="AS13" s="62"/>
      <c r="AT13" s="248">
        <f t="shared" si="4"/>
        <v>0.68524999999999991</v>
      </c>
    </row>
    <row r="14" spans="1:46">
      <c r="B14" s="53"/>
      <c r="C14" s="167" t="s">
        <v>212</v>
      </c>
      <c r="D14" s="241">
        <f>Input_Prices!L14*1000/39.4</f>
        <v>139.59390862944164</v>
      </c>
      <c r="E14" s="53" t="s">
        <v>3</v>
      </c>
      <c r="F14" s="243"/>
      <c r="G14" s="53" t="str">
        <f t="shared" si="0"/>
        <v>€/MWh</v>
      </c>
      <c r="H14" s="168"/>
      <c r="I14" s="222"/>
      <c r="J14" s="248">
        <f>IF(OR(ISNA(VLOOKUP(Calculator!C14,Results!$N$50:$R$54,5,FALSE)),ISBLANK(VLOOKUP(Calculator!C14,Results!$N$50:$R$54,5,FALSE))),IF($F14,$F14,D14),VLOOKUP(Calculator!C14,Results!$N$50:$R$54,5,FALSE))</f>
        <v>139.59390862944164</v>
      </c>
      <c r="K14" s="81"/>
      <c r="L14" s="53"/>
      <c r="M14" s="62"/>
      <c r="N14" s="208">
        <v>0</v>
      </c>
      <c r="O14" s="62" t="s">
        <v>251</v>
      </c>
      <c r="P14" s="216"/>
      <c r="Q14" s="62" t="str">
        <f t="shared" si="5"/>
        <v>MWh/t CS</v>
      </c>
      <c r="R14" s="211"/>
      <c r="S14" s="207">
        <f t="shared" si="1"/>
        <v>0</v>
      </c>
      <c r="T14" s="62" t="s">
        <v>252</v>
      </c>
      <c r="U14" s="62"/>
      <c r="V14" s="204">
        <f t="shared" si="8"/>
        <v>0</v>
      </c>
      <c r="W14" s="81"/>
      <c r="X14" s="53"/>
      <c r="Y14" s="53"/>
      <c r="Z14" s="208">
        <v>0</v>
      </c>
      <c r="AA14" s="62" t="s">
        <v>251</v>
      </c>
      <c r="AB14" s="211"/>
      <c r="AC14" s="62" t="str">
        <f t="shared" si="6"/>
        <v>MWh/t CS</v>
      </c>
      <c r="AD14" s="211"/>
      <c r="AE14" s="207">
        <f t="shared" si="2"/>
        <v>0</v>
      </c>
      <c r="AF14" s="62" t="s">
        <v>252</v>
      </c>
      <c r="AG14" s="53"/>
      <c r="AH14" s="248">
        <f>IF(AB14,AB14,Z14)</f>
        <v>0</v>
      </c>
      <c r="AJ14" s="53"/>
      <c r="AK14" s="53"/>
      <c r="AL14" s="255">
        <f>Input_Processes!F144/1000*3.54</f>
        <v>1.9142549999999998</v>
      </c>
      <c r="AM14" s="62" t="s">
        <v>270</v>
      </c>
      <c r="AN14" s="168"/>
      <c r="AO14" s="62" t="str">
        <f t="shared" si="7"/>
        <v>MWh/t CS*</v>
      </c>
      <c r="AP14" s="168"/>
      <c r="AQ14" s="207">
        <f t="shared" si="3"/>
        <v>267.21833756345177</v>
      </c>
      <c r="AR14" s="62" t="s">
        <v>252</v>
      </c>
      <c r="AS14" s="62"/>
      <c r="AT14" s="248">
        <f t="shared" si="4"/>
        <v>1.9142549999999998</v>
      </c>
    </row>
    <row r="15" spans="1:46">
      <c r="B15" s="53"/>
      <c r="C15" s="167" t="s">
        <v>213</v>
      </c>
      <c r="D15" s="241">
        <f>Input_Prices!L13</f>
        <v>51.471000000000004</v>
      </c>
      <c r="E15" s="53" t="s">
        <v>3</v>
      </c>
      <c r="F15" s="243"/>
      <c r="G15" s="53" t="str">
        <f t="shared" si="0"/>
        <v>€/MWh</v>
      </c>
      <c r="H15" s="168"/>
      <c r="I15" s="222"/>
      <c r="J15" s="248">
        <f>IF(OR(ISNA(VLOOKUP(Calculator!C15,Results!$N$50:$R$54,5,FALSE)),ISBLANK(VLOOKUP(Calculator!C15,Results!$N$50:$R$54,5,FALSE))),IF($F15,$F15,D15),VLOOKUP(Calculator!C15,Results!$N$50:$R$54,5,FALSE))</f>
        <v>51.471000000000004</v>
      </c>
      <c r="K15" s="81"/>
      <c r="L15" s="53"/>
      <c r="M15" s="62"/>
      <c r="N15" s="208">
        <v>0</v>
      </c>
      <c r="O15" s="62" t="s">
        <v>251</v>
      </c>
      <c r="P15" s="216"/>
      <c r="Q15" s="62" t="str">
        <f t="shared" si="5"/>
        <v>MWh/t CS</v>
      </c>
      <c r="R15" s="211"/>
      <c r="S15" s="207">
        <f t="shared" si="1"/>
        <v>0</v>
      </c>
      <c r="T15" s="62" t="s">
        <v>252</v>
      </c>
      <c r="U15" s="62"/>
      <c r="V15" s="204">
        <f t="shared" si="8"/>
        <v>0</v>
      </c>
      <c r="W15" s="81"/>
      <c r="X15" s="53"/>
      <c r="Y15" s="53"/>
      <c r="Z15" s="208">
        <v>0</v>
      </c>
      <c r="AA15" s="62" t="s">
        <v>251</v>
      </c>
      <c r="AB15" s="211"/>
      <c r="AC15" s="62" t="str">
        <f t="shared" si="6"/>
        <v>MWh/t CS</v>
      </c>
      <c r="AD15" s="211"/>
      <c r="AE15" s="207">
        <f t="shared" si="2"/>
        <v>0</v>
      </c>
      <c r="AF15" s="62" t="s">
        <v>252</v>
      </c>
      <c r="AG15" s="53"/>
      <c r="AH15" s="248">
        <f t="shared" ref="AH15:AH22" si="9">IF(ISBLANK(AB15),Z15,AB15)</f>
        <v>0</v>
      </c>
      <c r="AJ15" s="53"/>
      <c r="AK15" s="53"/>
      <c r="AL15" s="207">
        <v>0</v>
      </c>
      <c r="AM15" s="62" t="s">
        <v>251</v>
      </c>
      <c r="AN15" s="168"/>
      <c r="AO15" s="62" t="str">
        <f t="shared" si="7"/>
        <v>MWh/t CS</v>
      </c>
      <c r="AP15" s="168"/>
      <c r="AQ15" s="207">
        <f t="shared" si="3"/>
        <v>0</v>
      </c>
      <c r="AR15" s="62" t="s">
        <v>252</v>
      </c>
      <c r="AS15" s="62"/>
      <c r="AT15" s="248">
        <f t="shared" si="4"/>
        <v>0</v>
      </c>
    </row>
    <row r="16" spans="1:46">
      <c r="A16" s="171"/>
      <c r="B16" s="172"/>
      <c r="C16" s="167" t="s">
        <v>214</v>
      </c>
      <c r="D16" s="241">
        <f>Input_Prices!L19</f>
        <v>114</v>
      </c>
      <c r="E16" s="53" t="s">
        <v>6</v>
      </c>
      <c r="F16" s="243"/>
      <c r="G16" s="53" t="str">
        <f t="shared" si="0"/>
        <v>€/t</v>
      </c>
      <c r="H16" s="168"/>
      <c r="I16" s="222"/>
      <c r="J16" s="248">
        <f>IF(OR(ISNA(VLOOKUP(Calculator!C16,Results!$N$50:$R$54,5,FALSE)),ISBLANK(VLOOKUP(Calculator!C16,Results!$N$50:$R$54,5,FALSE))),IF($F16,$F16,D16),VLOOKUP(Calculator!C16,Results!$N$50:$R$54,5,FALSE))</f>
        <v>114</v>
      </c>
      <c r="K16" s="81"/>
      <c r="L16" s="53"/>
      <c r="M16" s="62"/>
      <c r="N16" s="207">
        <f>Input_Processes!F23</f>
        <v>1.3906799999999999</v>
      </c>
      <c r="O16" s="62" t="s">
        <v>249</v>
      </c>
      <c r="P16" s="216"/>
      <c r="Q16" s="62" t="str">
        <f t="shared" si="5"/>
        <v>t/t CS</v>
      </c>
      <c r="R16" s="211"/>
      <c r="S16" s="207">
        <f t="shared" si="1"/>
        <v>158.53752</v>
      </c>
      <c r="T16" s="62" t="s">
        <v>252</v>
      </c>
      <c r="U16" s="62"/>
      <c r="V16" s="204">
        <f t="shared" si="8"/>
        <v>1.3906799999999999</v>
      </c>
      <c r="W16" s="81"/>
      <c r="X16" s="53"/>
      <c r="Y16" s="53"/>
      <c r="Z16" s="207">
        <v>0</v>
      </c>
      <c r="AA16" s="62" t="s">
        <v>249</v>
      </c>
      <c r="AB16" s="211"/>
      <c r="AC16" s="62" t="str">
        <f t="shared" si="6"/>
        <v>t/t CS</v>
      </c>
      <c r="AD16" s="211"/>
      <c r="AE16" s="207">
        <f t="shared" si="2"/>
        <v>0</v>
      </c>
      <c r="AF16" s="62" t="s">
        <v>252</v>
      </c>
      <c r="AG16" s="53"/>
      <c r="AH16" s="248">
        <f t="shared" si="9"/>
        <v>0</v>
      </c>
      <c r="AJ16" s="53"/>
      <c r="AK16" s="53"/>
      <c r="AL16" s="207">
        <v>0</v>
      </c>
      <c r="AM16" s="62" t="s">
        <v>249</v>
      </c>
      <c r="AN16" s="168"/>
      <c r="AO16" s="62" t="str">
        <f t="shared" si="7"/>
        <v>t/t CS</v>
      </c>
      <c r="AP16" s="168"/>
      <c r="AQ16" s="207">
        <f t="shared" si="3"/>
        <v>0</v>
      </c>
      <c r="AR16" s="62" t="s">
        <v>252</v>
      </c>
      <c r="AS16" s="62"/>
      <c r="AT16" s="248">
        <f t="shared" si="4"/>
        <v>0</v>
      </c>
    </row>
    <row r="17" spans="1:46">
      <c r="A17" s="171"/>
      <c r="B17" s="172"/>
      <c r="C17" s="167" t="s">
        <v>215</v>
      </c>
      <c r="D17" s="241">
        <f>Input_Prices!L20</f>
        <v>154</v>
      </c>
      <c r="E17" s="53" t="s">
        <v>6</v>
      </c>
      <c r="F17" s="243"/>
      <c r="G17" s="53" t="str">
        <f t="shared" si="0"/>
        <v>€/t</v>
      </c>
      <c r="H17" s="168"/>
      <c r="I17" s="222"/>
      <c r="J17" s="248">
        <f>IF(OR(ISNA(VLOOKUP(Calculator!C17,Results!$N$50:$R$54,5,FALSE)),ISBLANK(VLOOKUP(Calculator!C17,Results!$N$50:$R$54,5,FALSE))),IF($F17,$F17,D17),VLOOKUP(Calculator!C17,Results!$N$50:$R$54,5,FALSE))</f>
        <v>154</v>
      </c>
      <c r="K17" s="81"/>
      <c r="L17" s="53"/>
      <c r="M17" s="62"/>
      <c r="N17" s="207">
        <v>0</v>
      </c>
      <c r="O17" s="62" t="s">
        <v>249</v>
      </c>
      <c r="P17" s="216"/>
      <c r="Q17" s="62" t="str">
        <f t="shared" si="5"/>
        <v>t/t CS</v>
      </c>
      <c r="R17" s="211"/>
      <c r="S17" s="207">
        <f t="shared" si="1"/>
        <v>0</v>
      </c>
      <c r="T17" s="62" t="s">
        <v>252</v>
      </c>
      <c r="U17" s="62"/>
      <c r="V17" s="204">
        <f t="shared" si="8"/>
        <v>0</v>
      </c>
      <c r="W17" s="81"/>
      <c r="X17" s="53"/>
      <c r="Y17" s="53"/>
      <c r="Z17" s="207">
        <f>Input_Processes!F71</f>
        <v>1.4584999999999999</v>
      </c>
      <c r="AA17" s="62" t="s">
        <v>249</v>
      </c>
      <c r="AB17" s="211"/>
      <c r="AC17" s="62" t="str">
        <f t="shared" si="6"/>
        <v>t/t CS</v>
      </c>
      <c r="AD17" s="211"/>
      <c r="AE17" s="207">
        <f t="shared" si="2"/>
        <v>224.60899999999998</v>
      </c>
      <c r="AF17" s="62" t="s">
        <v>252</v>
      </c>
      <c r="AG17" s="53"/>
      <c r="AH17" s="248">
        <f t="shared" si="9"/>
        <v>1.4584999999999999</v>
      </c>
      <c r="AJ17" s="53"/>
      <c r="AK17" s="53"/>
      <c r="AL17" s="207">
        <f>Input_Processes!F129</f>
        <v>1.4584999999999999</v>
      </c>
      <c r="AM17" s="62" t="s">
        <v>249</v>
      </c>
      <c r="AN17" s="168"/>
      <c r="AO17" s="62" t="str">
        <f t="shared" si="7"/>
        <v>t/t CS</v>
      </c>
      <c r="AP17" s="168"/>
      <c r="AQ17" s="207">
        <f t="shared" si="3"/>
        <v>224.60899999999998</v>
      </c>
      <c r="AR17" s="62" t="s">
        <v>252</v>
      </c>
      <c r="AS17" s="62"/>
      <c r="AT17" s="248">
        <f t="shared" si="4"/>
        <v>1.4584999999999999</v>
      </c>
    </row>
    <row r="18" spans="1:46">
      <c r="A18" s="171"/>
      <c r="B18" s="172"/>
      <c r="C18" s="167" t="s">
        <v>216</v>
      </c>
      <c r="D18" s="241">
        <f>Input_Prices!L18</f>
        <v>100</v>
      </c>
      <c r="E18" s="53" t="s">
        <v>6</v>
      </c>
      <c r="F18" s="243"/>
      <c r="G18" s="53" t="str">
        <f t="shared" si="0"/>
        <v>€/t</v>
      </c>
      <c r="H18" s="168"/>
      <c r="I18" s="222"/>
      <c r="J18" s="248">
        <f>IF(OR(ISNA(VLOOKUP(Calculator!C18,Results!$N$50:$R$54,5,FALSE)),ISBLANK(VLOOKUP(Calculator!C18,Results!$N$50:$R$54,5,FALSE))),IF($F18,$F18,D18),VLOOKUP(Calculator!C18,Results!$N$50:$R$54,5,FALSE))</f>
        <v>100</v>
      </c>
      <c r="K18" s="81"/>
      <c r="L18" s="53"/>
      <c r="M18" s="62"/>
      <c r="N18" s="208">
        <f>Input_Processes!F33</f>
        <v>0.27800000000000002</v>
      </c>
      <c r="O18" s="62" t="s">
        <v>249</v>
      </c>
      <c r="P18" s="216"/>
      <c r="Q18" s="62" t="str">
        <f t="shared" si="5"/>
        <v>t/t CS</v>
      </c>
      <c r="R18" s="211"/>
      <c r="S18" s="207">
        <f t="shared" si="1"/>
        <v>27.800000000000004</v>
      </c>
      <c r="T18" s="62" t="s">
        <v>252</v>
      </c>
      <c r="U18" s="62"/>
      <c r="V18" s="204">
        <f t="shared" si="8"/>
        <v>0.27800000000000002</v>
      </c>
      <c r="W18" s="81"/>
      <c r="X18" s="53"/>
      <c r="Y18" s="53"/>
      <c r="Z18" s="208">
        <f>Input_Processes!F73</f>
        <v>0.05</v>
      </c>
      <c r="AA18" s="62" t="s">
        <v>249</v>
      </c>
      <c r="AB18" s="211"/>
      <c r="AC18" s="62" t="str">
        <f t="shared" si="6"/>
        <v>t/t CS</v>
      </c>
      <c r="AD18" s="211"/>
      <c r="AE18" s="207">
        <f t="shared" si="2"/>
        <v>5</v>
      </c>
      <c r="AF18" s="62" t="s">
        <v>252</v>
      </c>
      <c r="AG18" s="53"/>
      <c r="AH18" s="248">
        <f t="shared" si="9"/>
        <v>0.05</v>
      </c>
      <c r="AJ18" s="53"/>
      <c r="AK18" s="53"/>
      <c r="AL18" s="208">
        <f>Input_Processes!F130</f>
        <v>0.05</v>
      </c>
      <c r="AM18" s="62" t="s">
        <v>249</v>
      </c>
      <c r="AN18" s="168"/>
      <c r="AO18" s="62" t="str">
        <f t="shared" si="7"/>
        <v>t/t CS</v>
      </c>
      <c r="AP18" s="168"/>
      <c r="AQ18" s="207">
        <f t="shared" si="3"/>
        <v>5</v>
      </c>
      <c r="AR18" s="62" t="s">
        <v>252</v>
      </c>
      <c r="AS18" s="62"/>
      <c r="AT18" s="248">
        <f t="shared" si="4"/>
        <v>0.05</v>
      </c>
    </row>
    <row r="19" spans="1:46">
      <c r="A19" s="171"/>
      <c r="B19" s="172"/>
      <c r="C19" s="167" t="s">
        <v>217</v>
      </c>
      <c r="D19" s="241">
        <f>Input_Prices!L24</f>
        <v>4000</v>
      </c>
      <c r="E19" s="53" t="s">
        <v>6</v>
      </c>
      <c r="F19" s="243"/>
      <c r="G19" s="53" t="str">
        <f t="shared" si="0"/>
        <v>€/t</v>
      </c>
      <c r="H19" s="168"/>
      <c r="I19" s="222"/>
      <c r="J19" s="248">
        <f>IF(OR(ISNA(VLOOKUP(Calculator!C19,Results!$N$50:$R$54,5,FALSE)),ISBLANK(VLOOKUP(Calculator!C19,Results!$N$50:$R$54,5,FALSE))),IF($F19,$F19,D19),VLOOKUP(Calculator!C19,Results!$N$50:$R$54,5,FALSE))</f>
        <v>4000</v>
      </c>
      <c r="K19" s="81"/>
      <c r="L19" s="53"/>
      <c r="M19" s="62"/>
      <c r="N19" s="208">
        <v>0</v>
      </c>
      <c r="O19" s="62" t="s">
        <v>249</v>
      </c>
      <c r="P19" s="216"/>
      <c r="Q19" s="62" t="str">
        <f t="shared" si="5"/>
        <v>t/t CS</v>
      </c>
      <c r="R19" s="211"/>
      <c r="S19" s="207">
        <f t="shared" si="1"/>
        <v>0</v>
      </c>
      <c r="T19" s="62" t="s">
        <v>252</v>
      </c>
      <c r="U19" s="62"/>
      <c r="V19" s="204">
        <f t="shared" si="8"/>
        <v>0</v>
      </c>
      <c r="W19" s="81"/>
      <c r="X19" s="53"/>
      <c r="Y19" s="53"/>
      <c r="Z19" s="208">
        <f>Input_Processes!F75</f>
        <v>2E-3</v>
      </c>
      <c r="AA19" s="62" t="s">
        <v>249</v>
      </c>
      <c r="AB19" s="211"/>
      <c r="AC19" s="62" t="str">
        <f t="shared" si="6"/>
        <v>t/t CS</v>
      </c>
      <c r="AD19" s="211"/>
      <c r="AE19" s="207">
        <f t="shared" si="2"/>
        <v>8</v>
      </c>
      <c r="AF19" s="62" t="s">
        <v>252</v>
      </c>
      <c r="AG19" s="53"/>
      <c r="AH19" s="248">
        <f t="shared" si="9"/>
        <v>2E-3</v>
      </c>
      <c r="AJ19" s="53"/>
      <c r="AK19" s="53"/>
      <c r="AL19" s="208">
        <f>Input_Processes!F133</f>
        <v>2E-3</v>
      </c>
      <c r="AM19" s="62" t="s">
        <v>249</v>
      </c>
      <c r="AN19" s="168"/>
      <c r="AO19" s="62" t="str">
        <f t="shared" si="7"/>
        <v>t/t CS</v>
      </c>
      <c r="AP19" s="168"/>
      <c r="AQ19" s="207">
        <f t="shared" si="3"/>
        <v>8</v>
      </c>
      <c r="AR19" s="62" t="s">
        <v>252</v>
      </c>
      <c r="AS19" s="62"/>
      <c r="AT19" s="248">
        <f t="shared" si="4"/>
        <v>2E-3</v>
      </c>
    </row>
    <row r="20" spans="1:46">
      <c r="A20" s="171"/>
      <c r="B20" s="172"/>
      <c r="C20" s="167" t="s">
        <v>218</v>
      </c>
      <c r="D20" s="241">
        <f>Input_Prices!L23</f>
        <v>1777</v>
      </c>
      <c r="E20" s="53" t="s">
        <v>6</v>
      </c>
      <c r="F20" s="243"/>
      <c r="G20" s="53" t="str">
        <f t="shared" si="0"/>
        <v>€/t</v>
      </c>
      <c r="H20" s="168"/>
      <c r="I20" s="222"/>
      <c r="J20" s="248">
        <f>IF(OR(ISNA(VLOOKUP(Calculator!C20,Results!$N$50:$R$54,5,FALSE)),ISBLANK(VLOOKUP(Calculator!C20,Results!$N$50:$R$54,5,FALSE))),IF($F20,$F20,D20),VLOOKUP(Calculator!C20,Results!$N$50:$R$54,5,FALSE))</f>
        <v>1777</v>
      </c>
      <c r="K20" s="81"/>
      <c r="L20" s="53"/>
      <c r="M20" s="62"/>
      <c r="N20" s="208">
        <f>Input_Processes!F74</f>
        <v>1.0999999999999999E-2</v>
      </c>
      <c r="O20" s="62" t="s">
        <v>249</v>
      </c>
      <c r="P20" s="216"/>
      <c r="Q20" s="62" t="str">
        <f t="shared" si="5"/>
        <v>t/t CS</v>
      </c>
      <c r="R20" s="211"/>
      <c r="S20" s="207">
        <f t="shared" si="1"/>
        <v>19.547000000000001</v>
      </c>
      <c r="T20" s="62" t="s">
        <v>252</v>
      </c>
      <c r="U20" s="62"/>
      <c r="V20" s="204">
        <f t="shared" si="8"/>
        <v>1.0999999999999999E-2</v>
      </c>
      <c r="W20" s="81"/>
      <c r="X20" s="53"/>
      <c r="Y20" s="53"/>
      <c r="Z20" s="208">
        <f>Input_Processes!F74</f>
        <v>1.0999999999999999E-2</v>
      </c>
      <c r="AA20" s="62" t="s">
        <v>249</v>
      </c>
      <c r="AB20" s="211"/>
      <c r="AC20" s="62" t="str">
        <f t="shared" si="6"/>
        <v>t/t CS</v>
      </c>
      <c r="AD20" s="211"/>
      <c r="AE20" s="207">
        <f t="shared" si="2"/>
        <v>19.547000000000001</v>
      </c>
      <c r="AF20" s="62" t="s">
        <v>252</v>
      </c>
      <c r="AG20" s="53"/>
      <c r="AH20" s="248">
        <f t="shared" si="9"/>
        <v>1.0999999999999999E-2</v>
      </c>
      <c r="AJ20" s="53"/>
      <c r="AK20" s="53"/>
      <c r="AL20" s="208">
        <f>Input_Processes!F132</f>
        <v>1.0999999999999999E-2</v>
      </c>
      <c r="AM20" s="62" t="s">
        <v>249</v>
      </c>
      <c r="AN20" s="168"/>
      <c r="AO20" s="62" t="str">
        <f t="shared" si="7"/>
        <v>t/t CS</v>
      </c>
      <c r="AP20" s="168"/>
      <c r="AQ20" s="207">
        <f t="shared" si="3"/>
        <v>19.547000000000001</v>
      </c>
      <c r="AR20" s="62" t="s">
        <v>252</v>
      </c>
      <c r="AS20" s="62"/>
      <c r="AT20" s="248">
        <f t="shared" si="4"/>
        <v>1.0999999999999999E-2</v>
      </c>
    </row>
    <row r="21" spans="1:46">
      <c r="A21" s="171"/>
      <c r="B21" s="172"/>
      <c r="C21" s="167" t="s">
        <v>219</v>
      </c>
      <c r="D21" s="241">
        <f>Input_Prices!L21</f>
        <v>233.5</v>
      </c>
      <c r="E21" s="53" t="s">
        <v>6</v>
      </c>
      <c r="F21" s="243"/>
      <c r="G21" s="53" t="str">
        <f t="shared" si="0"/>
        <v>€/t</v>
      </c>
      <c r="H21" s="168"/>
      <c r="I21" s="222"/>
      <c r="J21" s="248">
        <f>IF(OR(ISNA(VLOOKUP(Calculator!C21,Results!$N$50:$R$54,5,FALSE)),ISBLANK(VLOOKUP(Calculator!C21,Results!$N$50:$R$54,5,FALSE))),IF($F21,$F21,D21),VLOOKUP(Calculator!C21,Results!$N$50:$R$54,5,FALSE))</f>
        <v>233.5</v>
      </c>
      <c r="K21" s="81"/>
      <c r="L21" s="53"/>
      <c r="M21" s="62"/>
      <c r="N21" s="208">
        <f>Input_Processes!F72</f>
        <v>0.17</v>
      </c>
      <c r="O21" s="62" t="s">
        <v>249</v>
      </c>
      <c r="P21" s="216"/>
      <c r="Q21" s="62" t="str">
        <f t="shared" si="5"/>
        <v>t/t CS</v>
      </c>
      <c r="R21" s="211"/>
      <c r="S21" s="207">
        <f t="shared" si="1"/>
        <v>39.695</v>
      </c>
      <c r="T21" s="62" t="s">
        <v>252</v>
      </c>
      <c r="U21" s="62"/>
      <c r="V21" s="204">
        <f t="shared" si="8"/>
        <v>0.17</v>
      </c>
      <c r="W21" s="81"/>
      <c r="X21" s="53"/>
      <c r="Y21" s="53"/>
      <c r="Z21" s="208">
        <f>Input_Processes!F72</f>
        <v>0.17</v>
      </c>
      <c r="AA21" s="62" t="s">
        <v>249</v>
      </c>
      <c r="AB21" s="211"/>
      <c r="AC21" s="62" t="str">
        <f t="shared" si="6"/>
        <v>t/t CS</v>
      </c>
      <c r="AD21" s="211"/>
      <c r="AE21" s="207">
        <f t="shared" si="2"/>
        <v>39.695</v>
      </c>
      <c r="AF21" s="62" t="s">
        <v>252</v>
      </c>
      <c r="AG21" s="53"/>
      <c r="AH21" s="248">
        <f t="shared" si="9"/>
        <v>0.17</v>
      </c>
      <c r="AJ21" s="53"/>
      <c r="AK21" s="53"/>
      <c r="AL21" s="208">
        <f>Input_Processes!F131</f>
        <v>0.17</v>
      </c>
      <c r="AM21" s="62" t="s">
        <v>249</v>
      </c>
      <c r="AN21" s="168"/>
      <c r="AO21" s="62" t="str">
        <f t="shared" si="7"/>
        <v>t/t CS</v>
      </c>
      <c r="AP21" s="168"/>
      <c r="AQ21" s="207">
        <f t="shared" si="3"/>
        <v>39.695</v>
      </c>
      <c r="AR21" s="62" t="s">
        <v>252</v>
      </c>
      <c r="AS21" s="62"/>
      <c r="AT21" s="248">
        <f t="shared" si="4"/>
        <v>0.17</v>
      </c>
    </row>
    <row r="22" spans="1:46">
      <c r="A22" s="171"/>
      <c r="B22" s="172"/>
      <c r="C22" s="167" t="s">
        <v>220</v>
      </c>
      <c r="D22" s="241">
        <f>Input_Prices!L25</f>
        <v>60.8</v>
      </c>
      <c r="E22" s="53" t="s">
        <v>6</v>
      </c>
      <c r="F22" s="243"/>
      <c r="G22" s="53" t="str">
        <f t="shared" si="0"/>
        <v>€/t</v>
      </c>
      <c r="H22" s="168"/>
      <c r="I22" s="222"/>
      <c r="J22" s="248">
        <f>IF(OR(ISNA(VLOOKUP(Calculator!C22,Results!$N$50:$R$54,5,FALSE)),ISBLANK(VLOOKUP(Calculator!C22,Results!$N$50:$R$54,5,FALSE))),IF($F22,$F22,D22),VLOOKUP(Calculator!C22,Results!$N$50:$R$54,5,FALSE))</f>
        <v>60.8</v>
      </c>
      <c r="K22" s="81"/>
      <c r="L22" s="53"/>
      <c r="M22" s="62"/>
      <c r="N22" s="208">
        <f>Input_Processes!F30</f>
        <v>0.18</v>
      </c>
      <c r="O22" s="62" t="s">
        <v>249</v>
      </c>
      <c r="P22" s="216"/>
      <c r="Q22" s="62" t="str">
        <f t="shared" si="5"/>
        <v>t/t CS</v>
      </c>
      <c r="R22" s="211"/>
      <c r="S22" s="207">
        <f t="shared" si="1"/>
        <v>10.943999999999999</v>
      </c>
      <c r="T22" s="62" t="s">
        <v>252</v>
      </c>
      <c r="U22" s="62"/>
      <c r="V22" s="204">
        <f t="shared" si="8"/>
        <v>0.18</v>
      </c>
      <c r="W22" s="81"/>
      <c r="X22" s="53"/>
      <c r="Y22" s="53"/>
      <c r="Z22" s="208">
        <f>Input_Processes!F76</f>
        <v>0.05</v>
      </c>
      <c r="AA22" s="62" t="s">
        <v>249</v>
      </c>
      <c r="AB22" s="211"/>
      <c r="AC22" s="62" t="str">
        <f t="shared" si="6"/>
        <v>t/t CS</v>
      </c>
      <c r="AD22" s="211"/>
      <c r="AE22" s="207">
        <f t="shared" si="2"/>
        <v>3.04</v>
      </c>
      <c r="AF22" s="62" t="s">
        <v>252</v>
      </c>
      <c r="AG22" s="53"/>
      <c r="AH22" s="248">
        <f t="shared" si="9"/>
        <v>0.05</v>
      </c>
      <c r="AJ22" s="53"/>
      <c r="AK22" s="53"/>
      <c r="AL22" s="208">
        <f>Input_Processes!F134</f>
        <v>0.05</v>
      </c>
      <c r="AM22" s="62" t="s">
        <v>249</v>
      </c>
      <c r="AN22" s="168"/>
      <c r="AO22" s="62" t="str">
        <f t="shared" si="7"/>
        <v>t/t CS</v>
      </c>
      <c r="AP22" s="168"/>
      <c r="AQ22" s="207">
        <f t="shared" si="3"/>
        <v>3.04</v>
      </c>
      <c r="AR22" s="62" t="s">
        <v>252</v>
      </c>
      <c r="AS22" s="62"/>
      <c r="AT22" s="248">
        <f t="shared" si="4"/>
        <v>0.05</v>
      </c>
    </row>
    <row r="23" spans="1:46">
      <c r="A23" s="171"/>
      <c r="B23" s="172"/>
      <c r="C23" s="167"/>
      <c r="D23" s="241"/>
      <c r="E23" s="53"/>
      <c r="F23" s="198"/>
      <c r="G23" s="53"/>
      <c r="H23" s="134"/>
      <c r="I23" s="141"/>
      <c r="J23" s="249"/>
      <c r="K23" s="81"/>
      <c r="L23" s="53"/>
      <c r="M23" s="62"/>
      <c r="N23" s="208"/>
      <c r="O23" s="62"/>
      <c r="P23" s="215"/>
      <c r="Q23" s="62"/>
      <c r="R23" s="141"/>
      <c r="S23" s="207"/>
      <c r="T23" s="62"/>
      <c r="U23" s="62"/>
      <c r="V23" s="205"/>
      <c r="W23" s="81"/>
      <c r="X23" s="53"/>
      <c r="Y23" s="53"/>
      <c r="Z23" s="208"/>
      <c r="AA23" s="62"/>
      <c r="AB23" s="141"/>
      <c r="AC23" s="62"/>
      <c r="AD23" s="141"/>
      <c r="AE23" s="207"/>
      <c r="AF23" s="62"/>
      <c r="AG23" s="53"/>
      <c r="AH23" s="249"/>
      <c r="AJ23" s="53"/>
      <c r="AK23" s="53"/>
      <c r="AL23" s="208"/>
      <c r="AM23" s="62"/>
      <c r="AN23" s="134"/>
      <c r="AO23" s="62"/>
      <c r="AP23" s="134"/>
      <c r="AQ23" s="207"/>
      <c r="AR23" s="62"/>
      <c r="AS23" s="62"/>
      <c r="AT23" s="249"/>
    </row>
    <row r="24" spans="1:46">
      <c r="A24" s="171"/>
      <c r="B24" s="172"/>
      <c r="C24" s="167" t="s">
        <v>221</v>
      </c>
      <c r="D24" s="241"/>
      <c r="E24" s="53"/>
      <c r="F24" s="198"/>
      <c r="G24" s="53"/>
      <c r="H24" s="134"/>
      <c r="I24" s="134"/>
      <c r="J24" s="250"/>
      <c r="K24" s="81"/>
      <c r="L24" s="53"/>
      <c r="M24" s="62"/>
      <c r="N24" s="207">
        <f>Input_Processes!F55</f>
        <v>38</v>
      </c>
      <c r="O24" s="62" t="s">
        <v>252</v>
      </c>
      <c r="P24" s="216"/>
      <c r="Q24" s="62" t="str">
        <f t="shared" si="5"/>
        <v>€/t CS</v>
      </c>
      <c r="R24" s="211"/>
      <c r="S24" s="207">
        <f>V24</f>
        <v>38</v>
      </c>
      <c r="T24" s="62" t="s">
        <v>252</v>
      </c>
      <c r="U24" s="62"/>
      <c r="V24" s="204">
        <f>IF(ISBLANK(P24),N24,P24)</f>
        <v>38</v>
      </c>
      <c r="W24" s="81"/>
      <c r="X24" s="53"/>
      <c r="Y24" s="53"/>
      <c r="Z24" s="207">
        <f>Input_Processes!F55</f>
        <v>38</v>
      </c>
      <c r="AA24" s="62" t="s">
        <v>252</v>
      </c>
      <c r="AB24" s="211"/>
      <c r="AC24" s="62" t="str">
        <f t="shared" ref="AC24:AC25" si="10">AA24</f>
        <v>€/t CS</v>
      </c>
      <c r="AD24" s="211"/>
      <c r="AE24" s="207">
        <f>AH24</f>
        <v>38</v>
      </c>
      <c r="AF24" s="62" t="s">
        <v>252</v>
      </c>
      <c r="AG24" s="53"/>
      <c r="AH24" s="248">
        <f>IF(ISBLANK(AB24),Z24,AB24)</f>
        <v>38</v>
      </c>
      <c r="AJ24" s="53"/>
      <c r="AK24" s="53"/>
      <c r="AL24" s="207">
        <f>Input_Processes!F55</f>
        <v>38</v>
      </c>
      <c r="AM24" s="62" t="s">
        <v>252</v>
      </c>
      <c r="AN24" s="168"/>
      <c r="AO24" s="62" t="str">
        <f t="shared" ref="AO24:AO25" si="11">AM24</f>
        <v>€/t CS</v>
      </c>
      <c r="AP24" s="168"/>
      <c r="AQ24" s="207">
        <f>AT24</f>
        <v>38</v>
      </c>
      <c r="AR24" s="62" t="s">
        <v>252</v>
      </c>
      <c r="AS24" s="62"/>
      <c r="AT24" s="248">
        <f>IF(ISBLANK(AN24),AL24,AN24)</f>
        <v>38</v>
      </c>
    </row>
    <row r="25" spans="1:46">
      <c r="A25" s="171"/>
      <c r="B25" s="172"/>
      <c r="C25" s="167" t="s">
        <v>222</v>
      </c>
      <c r="D25" s="241"/>
      <c r="E25" s="53"/>
      <c r="F25" s="198"/>
      <c r="G25" s="53"/>
      <c r="H25" s="134"/>
      <c r="I25" s="134"/>
      <c r="J25" s="250"/>
      <c r="K25" s="81"/>
      <c r="L25" s="53"/>
      <c r="M25" s="62"/>
      <c r="N25" s="207">
        <f>S44*0.03</f>
        <v>0.48733333333333329</v>
      </c>
      <c r="O25" s="62" t="s">
        <v>252</v>
      </c>
      <c r="P25" s="216"/>
      <c r="Q25" s="62" t="str">
        <f t="shared" si="5"/>
        <v>€/t CS</v>
      </c>
      <c r="R25" s="211"/>
      <c r="S25" s="207">
        <f>V25</f>
        <v>0.48733333333333329</v>
      </c>
      <c r="T25" s="62" t="s">
        <v>252</v>
      </c>
      <c r="U25" s="62"/>
      <c r="V25" s="204">
        <f>IF(ISBLANK(P25),N25,P25)</f>
        <v>0.48733333333333329</v>
      </c>
      <c r="W25" s="81"/>
      <c r="X25" s="53"/>
      <c r="Y25" s="53"/>
      <c r="Z25" s="207">
        <f>AE44*0.03</f>
        <v>2.3736000000000002</v>
      </c>
      <c r="AA25" s="62" t="s">
        <v>252</v>
      </c>
      <c r="AB25" s="211"/>
      <c r="AC25" s="62" t="str">
        <f t="shared" si="10"/>
        <v>€/t CS</v>
      </c>
      <c r="AD25" s="211"/>
      <c r="AE25" s="207">
        <f>AH25</f>
        <v>2.3736000000000002</v>
      </c>
      <c r="AF25" s="62" t="s">
        <v>252</v>
      </c>
      <c r="AG25" s="53"/>
      <c r="AH25" s="248">
        <f>IF(ISBLANK(AB25),Z25,AB25)</f>
        <v>2.3736000000000002</v>
      </c>
      <c r="AJ25" s="53"/>
      <c r="AK25" s="53"/>
      <c r="AL25" s="203">
        <f>AQ44*0.03</f>
        <v>2.3736000000000002</v>
      </c>
      <c r="AM25" s="62" t="s">
        <v>252</v>
      </c>
      <c r="AN25" s="168"/>
      <c r="AO25" s="62" t="str">
        <f t="shared" si="11"/>
        <v>€/t CS</v>
      </c>
      <c r="AP25" s="168"/>
      <c r="AQ25" s="207">
        <f>AT25</f>
        <v>2.3736000000000002</v>
      </c>
      <c r="AR25" s="62" t="s">
        <v>252</v>
      </c>
      <c r="AS25" s="62"/>
      <c r="AT25" s="248">
        <f>IF(ISBLANK(AN25),AL25,AN25)</f>
        <v>2.3736000000000002</v>
      </c>
    </row>
    <row r="26" spans="1:46">
      <c r="A26" s="171"/>
      <c r="B26" s="172"/>
      <c r="C26" s="167" t="s">
        <v>223</v>
      </c>
      <c r="D26" s="241"/>
      <c r="E26" s="53"/>
      <c r="F26" s="198"/>
      <c r="G26" s="53"/>
      <c r="H26" s="134"/>
      <c r="I26" s="134"/>
      <c r="J26" s="250"/>
      <c r="K26" s="81"/>
      <c r="L26" s="53"/>
      <c r="M26" s="62"/>
      <c r="N26" s="208">
        <v>0</v>
      </c>
      <c r="O26" s="62" t="s">
        <v>252</v>
      </c>
      <c r="P26" s="216"/>
      <c r="Q26" s="62" t="str">
        <f t="shared" si="5"/>
        <v>€/t CS</v>
      </c>
      <c r="R26" s="211"/>
      <c r="S26" s="207">
        <f>V26</f>
        <v>0</v>
      </c>
      <c r="T26" s="62" t="s">
        <v>252</v>
      </c>
      <c r="U26" s="62"/>
      <c r="V26" s="204">
        <f>IF(ISBLANK(P26),N26,P26)</f>
        <v>0</v>
      </c>
      <c r="W26" s="81"/>
      <c r="X26" s="53"/>
      <c r="Y26" s="53"/>
      <c r="Z26" s="208">
        <v>0</v>
      </c>
      <c r="AA26" s="62" t="s">
        <v>252</v>
      </c>
      <c r="AB26" s="211"/>
      <c r="AC26" s="62" t="str">
        <f t="shared" ref="AC26" si="12">AA26</f>
        <v>€/t CS</v>
      </c>
      <c r="AD26" s="211"/>
      <c r="AE26" s="207">
        <f>AH26</f>
        <v>0</v>
      </c>
      <c r="AF26" s="62" t="s">
        <v>252</v>
      </c>
      <c r="AG26" s="53"/>
      <c r="AH26" s="248">
        <f>IF(ISBLANK(AB26),Z26,AB26)</f>
        <v>0</v>
      </c>
      <c r="AJ26" s="53"/>
      <c r="AK26" s="53"/>
      <c r="AL26" s="208">
        <v>0</v>
      </c>
      <c r="AM26" s="62" t="s">
        <v>252</v>
      </c>
      <c r="AN26" s="168"/>
      <c r="AO26" s="62" t="str">
        <f t="shared" ref="AO26" si="13">AM26</f>
        <v>€/t CS</v>
      </c>
      <c r="AP26" s="168"/>
      <c r="AQ26" s="207">
        <f>AT26</f>
        <v>0</v>
      </c>
      <c r="AR26" s="62" t="s">
        <v>252</v>
      </c>
      <c r="AS26" s="62"/>
      <c r="AT26" s="248">
        <f>IF(ISBLANK(AN26),AL26,AN26)</f>
        <v>0</v>
      </c>
    </row>
    <row r="27" spans="1:46">
      <c r="B27" s="53"/>
      <c r="C27" s="167"/>
      <c r="D27" s="241"/>
      <c r="E27" s="53"/>
      <c r="F27" s="198"/>
      <c r="G27" s="53"/>
      <c r="H27" s="134"/>
      <c r="I27" s="134"/>
      <c r="J27" s="250"/>
      <c r="K27" s="81"/>
      <c r="L27" s="53"/>
      <c r="M27" s="62"/>
      <c r="N27" s="208"/>
      <c r="O27" s="62"/>
      <c r="P27" s="215"/>
      <c r="Q27" s="62"/>
      <c r="R27" s="141"/>
      <c r="S27" s="207"/>
      <c r="T27" s="62"/>
      <c r="U27" s="62"/>
      <c r="V27" s="205"/>
      <c r="W27" s="81"/>
      <c r="X27" s="53"/>
      <c r="Y27" s="53"/>
      <c r="Z27" s="208"/>
      <c r="AA27" s="62"/>
      <c r="AB27" s="141"/>
      <c r="AC27" s="62"/>
      <c r="AD27" s="141"/>
      <c r="AE27" s="207"/>
      <c r="AF27" s="62"/>
      <c r="AG27" s="53"/>
      <c r="AH27" s="205"/>
      <c r="AJ27" s="53"/>
      <c r="AK27" s="53"/>
      <c r="AL27" s="208"/>
      <c r="AM27" s="62"/>
      <c r="AN27" s="134"/>
      <c r="AO27" s="62"/>
      <c r="AP27" s="134"/>
      <c r="AQ27" s="210"/>
      <c r="AR27" s="62"/>
      <c r="AS27" s="62"/>
      <c r="AT27" s="205"/>
    </row>
    <row r="28" spans="1:46">
      <c r="B28" s="53"/>
      <c r="C28" s="166" t="s">
        <v>224</v>
      </c>
      <c r="D28" s="241"/>
      <c r="E28" s="53"/>
      <c r="F28" s="198"/>
      <c r="G28" s="53"/>
      <c r="H28" s="134"/>
      <c r="I28" s="134"/>
      <c r="J28" s="250"/>
      <c r="K28" s="81"/>
      <c r="L28" s="53"/>
      <c r="M28" s="62"/>
      <c r="N28" s="208"/>
      <c r="O28" s="62"/>
      <c r="P28" s="215"/>
      <c r="Q28" s="62"/>
      <c r="R28" s="141"/>
      <c r="S28" s="207"/>
      <c r="T28" s="62"/>
      <c r="U28" s="62"/>
      <c r="V28" s="205"/>
      <c r="W28" s="81"/>
      <c r="X28" s="53"/>
      <c r="Y28" s="53"/>
      <c r="Z28" s="208"/>
      <c r="AA28" s="62"/>
      <c r="AB28" s="141"/>
      <c r="AC28" s="62"/>
      <c r="AD28" s="141"/>
      <c r="AE28" s="207"/>
      <c r="AF28" s="62"/>
      <c r="AG28" s="53"/>
      <c r="AH28" s="205"/>
      <c r="AJ28" s="53"/>
      <c r="AK28" s="53"/>
      <c r="AL28" s="208"/>
      <c r="AM28" s="62"/>
      <c r="AN28" s="134"/>
      <c r="AO28" s="53"/>
      <c r="AP28" s="134"/>
      <c r="AQ28" s="210"/>
      <c r="AR28" s="62"/>
      <c r="AS28" s="62"/>
      <c r="AT28" s="205"/>
    </row>
    <row r="29" spans="1:46">
      <c r="B29" s="53"/>
      <c r="C29" s="167" t="s">
        <v>225</v>
      </c>
      <c r="D29" s="241">
        <f>Input_Prices!F29*Input_Prices!L12</f>
        <v>31.5</v>
      </c>
      <c r="E29" s="53" t="s">
        <v>3</v>
      </c>
      <c r="F29" s="243"/>
      <c r="G29" s="53" t="str">
        <f>E29</f>
        <v>€/MWh</v>
      </c>
      <c r="H29" s="168"/>
      <c r="I29" s="169"/>
      <c r="J29" s="251">
        <f>IF(ISBLANK(F29),D29,F29)</f>
        <v>31.5</v>
      </c>
      <c r="K29" s="81"/>
      <c r="L29" s="53"/>
      <c r="M29" s="62"/>
      <c r="N29" s="208"/>
      <c r="O29" s="62"/>
      <c r="P29" s="216"/>
      <c r="Q29" s="62" t="s">
        <v>37</v>
      </c>
      <c r="R29" s="211"/>
      <c r="S29" s="207">
        <f>V29*$J29*(-1)</f>
        <v>0</v>
      </c>
      <c r="T29" s="62" t="s">
        <v>252</v>
      </c>
      <c r="U29" s="62"/>
      <c r="V29" s="204">
        <f>IF(ISBLANK(P29),N29,P29)</f>
        <v>0</v>
      </c>
      <c r="W29" s="81"/>
      <c r="X29" s="53"/>
      <c r="Y29" s="53"/>
      <c r="Z29" s="208"/>
      <c r="AA29" s="62"/>
      <c r="AB29" s="141"/>
      <c r="AC29" s="62"/>
      <c r="AD29" s="141"/>
      <c r="AE29" s="207"/>
      <c r="AF29" s="62"/>
      <c r="AG29" s="53"/>
      <c r="AH29" s="205"/>
      <c r="AJ29" s="53"/>
      <c r="AK29" s="53"/>
      <c r="AL29" s="208"/>
      <c r="AM29" s="62"/>
      <c r="AN29" s="134"/>
      <c r="AO29" s="53"/>
      <c r="AP29" s="134"/>
      <c r="AQ29" s="210"/>
      <c r="AR29" s="62"/>
      <c r="AS29" s="62"/>
      <c r="AT29" s="205"/>
    </row>
    <row r="30" spans="1:46">
      <c r="B30" s="53"/>
      <c r="C30" s="167" t="s">
        <v>226</v>
      </c>
      <c r="D30" s="241"/>
      <c r="E30" s="53" t="s">
        <v>3</v>
      </c>
      <c r="F30" s="243"/>
      <c r="G30" s="53" t="str">
        <f>E30</f>
        <v>€/MWh</v>
      </c>
      <c r="H30" s="168"/>
      <c r="I30" s="169"/>
      <c r="J30" s="251">
        <f>IF(ISBLANK(F30),D30,F30)</f>
        <v>0</v>
      </c>
      <c r="K30" s="81"/>
      <c r="L30" s="53"/>
      <c r="M30" s="62"/>
      <c r="N30" s="208"/>
      <c r="O30" s="62"/>
      <c r="P30" s="216"/>
      <c r="Q30" s="62" t="s">
        <v>37</v>
      </c>
      <c r="R30" s="211"/>
      <c r="S30" s="207">
        <f>V30*$J30*(-1)</f>
        <v>0</v>
      </c>
      <c r="T30" s="62" t="s">
        <v>252</v>
      </c>
      <c r="U30" s="62"/>
      <c r="V30" s="204">
        <f>IF(ISBLANK(P30),N30,P30)</f>
        <v>0</v>
      </c>
      <c r="W30" s="81"/>
      <c r="X30" s="53"/>
      <c r="Y30" s="53"/>
      <c r="Z30" s="208"/>
      <c r="AA30" s="62"/>
      <c r="AB30" s="141"/>
      <c r="AC30" s="62"/>
      <c r="AD30" s="141"/>
      <c r="AE30" s="207"/>
      <c r="AF30" s="62"/>
      <c r="AG30" s="53"/>
      <c r="AH30" s="205"/>
      <c r="AJ30" s="53"/>
      <c r="AK30" s="53"/>
      <c r="AL30" s="208"/>
      <c r="AM30" s="62"/>
      <c r="AN30" s="134"/>
      <c r="AO30" s="53"/>
      <c r="AP30" s="134"/>
      <c r="AQ30" s="210"/>
      <c r="AR30" s="62"/>
      <c r="AS30" s="62"/>
      <c r="AT30" s="205"/>
    </row>
    <row r="31" spans="1:46">
      <c r="B31" s="53"/>
      <c r="C31" s="173" t="s">
        <v>229</v>
      </c>
      <c r="D31" s="241"/>
      <c r="E31" s="53" t="s">
        <v>6</v>
      </c>
      <c r="F31" s="243"/>
      <c r="G31" s="53" t="s">
        <v>6</v>
      </c>
      <c r="H31" s="168"/>
      <c r="I31" s="169"/>
      <c r="J31" s="251">
        <f>IF(ISBLANK(F31),D31,F31)</f>
        <v>0</v>
      </c>
      <c r="K31" s="81"/>
      <c r="L31" s="53"/>
      <c r="M31" s="62"/>
      <c r="N31" s="208"/>
      <c r="O31" s="62"/>
      <c r="P31" s="216"/>
      <c r="Q31" s="62" t="s">
        <v>36</v>
      </c>
      <c r="R31" s="211"/>
      <c r="S31" s="207">
        <f>V31*$J31*(-1)</f>
        <v>0</v>
      </c>
      <c r="T31" s="62" t="s">
        <v>252</v>
      </c>
      <c r="U31" s="62"/>
      <c r="V31" s="204">
        <f>IF(ISBLANK(P31),N31,P31)</f>
        <v>0</v>
      </c>
      <c r="W31" s="81"/>
      <c r="X31" s="53"/>
      <c r="Y31" s="53"/>
      <c r="Z31" s="208"/>
      <c r="AA31" s="62"/>
      <c r="AB31" s="141"/>
      <c r="AC31" s="62"/>
      <c r="AD31" s="141"/>
      <c r="AE31" s="207"/>
      <c r="AF31" s="62"/>
      <c r="AG31" s="53"/>
      <c r="AH31" s="205"/>
      <c r="AJ31" s="53"/>
      <c r="AK31" s="53"/>
      <c r="AL31" s="208"/>
      <c r="AM31" s="62"/>
      <c r="AN31" s="134"/>
      <c r="AO31" s="53"/>
      <c r="AP31" s="134"/>
      <c r="AQ31" s="210"/>
      <c r="AR31" s="62"/>
      <c r="AS31" s="62"/>
      <c r="AT31" s="205"/>
    </row>
    <row r="32" spans="1:46">
      <c r="B32" s="53"/>
      <c r="C32" s="167" t="s">
        <v>227</v>
      </c>
      <c r="D32" s="241">
        <f>Input_Prices!F28</f>
        <v>16</v>
      </c>
      <c r="E32" s="53" t="s">
        <v>6</v>
      </c>
      <c r="F32" s="243"/>
      <c r="G32" s="53" t="s">
        <v>6</v>
      </c>
      <c r="H32" s="168"/>
      <c r="I32" s="169"/>
      <c r="J32" s="251">
        <f>IF(ISBLANK(F32),D32,F32)</f>
        <v>16</v>
      </c>
      <c r="K32" s="81"/>
      <c r="L32" s="53"/>
      <c r="M32" s="62"/>
      <c r="N32" s="208"/>
      <c r="O32" s="62"/>
      <c r="P32" s="216"/>
      <c r="Q32" s="62" t="s">
        <v>36</v>
      </c>
      <c r="R32" s="211"/>
      <c r="S32" s="207">
        <f>V32*$J32*(-1)</f>
        <v>0</v>
      </c>
      <c r="T32" s="62" t="s">
        <v>252</v>
      </c>
      <c r="U32" s="62"/>
      <c r="V32" s="204">
        <f>IF(ISBLANK(P32),N32,P32)</f>
        <v>0</v>
      </c>
      <c r="W32" s="81"/>
      <c r="X32" s="53"/>
      <c r="Y32" s="53"/>
      <c r="Z32" s="208"/>
      <c r="AA32" s="62"/>
      <c r="AB32" s="141"/>
      <c r="AC32" s="62"/>
      <c r="AD32" s="141"/>
      <c r="AE32" s="207"/>
      <c r="AF32" s="62"/>
      <c r="AG32" s="53"/>
      <c r="AH32" s="205"/>
      <c r="AJ32" s="53"/>
      <c r="AK32" s="53"/>
      <c r="AL32" s="208"/>
      <c r="AM32" s="62"/>
      <c r="AN32" s="134"/>
      <c r="AO32" s="53"/>
      <c r="AP32" s="134"/>
      <c r="AQ32" s="210"/>
      <c r="AR32" s="62"/>
      <c r="AS32" s="62"/>
      <c r="AT32" s="205"/>
    </row>
    <row r="33" spans="2:47">
      <c r="B33" s="53"/>
      <c r="C33" s="166" t="s">
        <v>228</v>
      </c>
      <c r="D33" s="242"/>
      <c r="E33" s="125"/>
      <c r="F33" s="244"/>
      <c r="G33" s="125"/>
      <c r="H33" s="129"/>
      <c r="I33" s="129"/>
      <c r="J33" s="252"/>
      <c r="K33" s="152"/>
      <c r="L33" s="125"/>
      <c r="M33" s="61"/>
      <c r="N33" s="209"/>
      <c r="O33" s="61"/>
      <c r="P33" s="217"/>
      <c r="Q33" s="61"/>
      <c r="R33" s="212"/>
      <c r="S33" s="246">
        <f>SUM(S10:S32)</f>
        <v>398.10400578811374</v>
      </c>
      <c r="T33" s="61" t="s">
        <v>252</v>
      </c>
      <c r="U33" s="61"/>
      <c r="V33" s="206"/>
      <c r="W33" s="81"/>
      <c r="X33" s="53"/>
      <c r="Y33" s="53"/>
      <c r="Z33" s="209"/>
      <c r="AA33" s="61"/>
      <c r="AB33" s="212"/>
      <c r="AC33" s="61"/>
      <c r="AD33" s="212"/>
      <c r="AE33" s="246">
        <f>SUM(AE10:AE32)</f>
        <v>484.23561973684212</v>
      </c>
      <c r="AF33" s="61" t="s">
        <v>252</v>
      </c>
      <c r="AG33" s="125"/>
      <c r="AH33" s="206"/>
      <c r="AJ33" s="53"/>
      <c r="AK33" s="53"/>
      <c r="AL33" s="209"/>
      <c r="AM33" s="61"/>
      <c r="AN33" s="129"/>
      <c r="AO33" s="125"/>
      <c r="AP33" s="129"/>
      <c r="AQ33" s="289">
        <f>SUM(AQ10:AQ32)</f>
        <v>668.37293756345184</v>
      </c>
      <c r="AR33" s="61" t="s">
        <v>252</v>
      </c>
      <c r="AS33" s="61"/>
      <c r="AT33" s="206"/>
    </row>
    <row r="34" spans="2:47">
      <c r="B34" s="53"/>
      <c r="C34" s="53"/>
      <c r="D34" s="241"/>
      <c r="E34" s="53"/>
      <c r="F34" s="198"/>
      <c r="G34" s="53"/>
      <c r="H34" s="134"/>
      <c r="I34" s="134"/>
      <c r="J34" s="250"/>
      <c r="K34" s="81"/>
      <c r="L34" s="53"/>
      <c r="M34" s="62"/>
      <c r="N34" s="208"/>
      <c r="O34" s="62"/>
      <c r="P34" s="215"/>
      <c r="Q34" s="62"/>
      <c r="R34" s="141"/>
      <c r="S34" s="207"/>
      <c r="T34" s="62"/>
      <c r="U34" s="62"/>
      <c r="V34" s="205"/>
      <c r="W34" s="81"/>
      <c r="X34" s="53"/>
      <c r="Y34" s="53"/>
      <c r="Z34" s="208"/>
      <c r="AA34" s="62"/>
      <c r="AB34" s="141"/>
      <c r="AC34" s="62"/>
      <c r="AD34" s="141"/>
      <c r="AE34" s="207"/>
      <c r="AF34" s="62"/>
      <c r="AG34" s="53"/>
      <c r="AH34" s="205"/>
      <c r="AJ34" s="53"/>
      <c r="AK34" s="53"/>
      <c r="AL34" s="208"/>
      <c r="AM34" s="62"/>
      <c r="AN34" s="134"/>
      <c r="AO34" s="53"/>
      <c r="AP34" s="134"/>
      <c r="AQ34" s="207"/>
      <c r="AR34" s="62"/>
      <c r="AS34" s="62"/>
      <c r="AT34" s="205"/>
    </row>
    <row r="35" spans="2:47">
      <c r="B35" s="53"/>
      <c r="C35" s="174" t="s">
        <v>13</v>
      </c>
      <c r="D35" s="241"/>
      <c r="E35" s="53"/>
      <c r="F35" s="198"/>
      <c r="G35" s="53"/>
      <c r="H35" s="134"/>
      <c r="I35" s="134"/>
      <c r="J35" s="250"/>
      <c r="K35" s="81"/>
      <c r="L35" s="53"/>
      <c r="M35" s="62"/>
      <c r="N35" s="208"/>
      <c r="O35" s="62"/>
      <c r="P35" s="215"/>
      <c r="Q35" s="62"/>
      <c r="R35" s="141"/>
      <c r="S35" s="207"/>
      <c r="T35" s="62"/>
      <c r="U35" s="62"/>
      <c r="V35" s="205"/>
      <c r="W35" s="81"/>
      <c r="X35" s="53"/>
      <c r="Y35" s="53"/>
      <c r="Z35" s="208"/>
      <c r="AA35" s="62"/>
      <c r="AB35" s="141"/>
      <c r="AC35" s="62"/>
      <c r="AD35" s="141"/>
      <c r="AE35" s="207"/>
      <c r="AF35" s="62"/>
      <c r="AG35" s="53"/>
      <c r="AH35" s="205"/>
      <c r="AJ35" s="53"/>
      <c r="AK35" s="53"/>
      <c r="AL35" s="208"/>
      <c r="AM35" s="62"/>
      <c r="AN35" s="134"/>
      <c r="AO35" s="53"/>
      <c r="AP35" s="134"/>
      <c r="AQ35" s="207"/>
      <c r="AR35" s="62"/>
      <c r="AS35" s="62"/>
      <c r="AT35" s="205"/>
    </row>
    <row r="36" spans="2:47">
      <c r="B36" s="53"/>
      <c r="C36" s="175"/>
      <c r="D36" s="241"/>
      <c r="E36" s="53"/>
      <c r="F36" s="198"/>
      <c r="G36" s="53"/>
      <c r="H36" s="134"/>
      <c r="I36" s="134"/>
      <c r="J36" s="250"/>
      <c r="K36" s="81"/>
      <c r="L36" s="53"/>
      <c r="M36" s="62" t="s">
        <v>256</v>
      </c>
      <c r="N36" s="247">
        <f>Input_Processes!F51</f>
        <v>74</v>
      </c>
      <c r="O36" s="62" t="s">
        <v>260</v>
      </c>
      <c r="P36" s="216"/>
      <c r="Q36" s="62" t="str">
        <f>O36</f>
        <v>€/t Cap.</v>
      </c>
      <c r="R36" s="211"/>
      <c r="S36" s="207">
        <f>(V36/V40+V36*V41/100/2)*(1-V42/100)</f>
        <v>7.0711111111111107</v>
      </c>
      <c r="T36" s="62" t="s">
        <v>252</v>
      </c>
      <c r="U36" s="62"/>
      <c r="V36" s="248">
        <f>IF(ISBLANK(P36),N36,P36)</f>
        <v>74</v>
      </c>
      <c r="W36" s="81"/>
      <c r="X36" s="53"/>
      <c r="Y36" s="53" t="s">
        <v>265</v>
      </c>
      <c r="Z36" s="207">
        <f>Input_Processes!F109</f>
        <v>230</v>
      </c>
      <c r="AA36" s="62" t="s">
        <v>260</v>
      </c>
      <c r="AB36" s="211"/>
      <c r="AC36" s="62" t="str">
        <f>AA36</f>
        <v>€/t Cap.</v>
      </c>
      <c r="AD36" s="211"/>
      <c r="AE36" s="207">
        <f>(AH36/AH40+AH36*AH41/100/2)*(1-V42/100)</f>
        <v>43.955555555555556</v>
      </c>
      <c r="AF36" s="62" t="s">
        <v>252</v>
      </c>
      <c r="AG36" s="53"/>
      <c r="AH36" s="248">
        <f>IF(ISBLANK(AB36),Z36,AB36)*AH38/(AH43/100)</f>
        <v>460</v>
      </c>
      <c r="AJ36" s="53"/>
      <c r="AK36" s="184" t="s">
        <v>265</v>
      </c>
      <c r="AL36" s="207">
        <f>Input_Processes!F177</f>
        <v>230</v>
      </c>
      <c r="AM36" s="62" t="s">
        <v>260</v>
      </c>
      <c r="AN36" s="168"/>
      <c r="AO36" s="53"/>
      <c r="AP36" s="168"/>
      <c r="AQ36" s="207">
        <f>(AT36/AT40+AT36*AT41/100/2)*(1-AH42/100)</f>
        <v>43.955555555555556</v>
      </c>
      <c r="AR36" s="62" t="s">
        <v>252</v>
      </c>
      <c r="AS36" s="62"/>
      <c r="AT36" s="248">
        <f>IF(ISBLANK(AN36),AL36,AN36)*AT38/(AT43/100)</f>
        <v>460</v>
      </c>
    </row>
    <row r="37" spans="2:47">
      <c r="B37" s="53"/>
      <c r="C37" s="175"/>
      <c r="D37" s="241"/>
      <c r="E37" s="53"/>
      <c r="F37" s="198"/>
      <c r="G37" s="53"/>
      <c r="H37" s="134"/>
      <c r="I37" s="134"/>
      <c r="J37" s="250"/>
      <c r="K37" s="81"/>
      <c r="L37" s="53"/>
      <c r="M37" s="62" t="s">
        <v>253</v>
      </c>
      <c r="N37" s="247">
        <f>Input_Processes!F50</f>
        <v>15</v>
      </c>
      <c r="O37" s="62" t="s">
        <v>260</v>
      </c>
      <c r="P37" s="216"/>
      <c r="Q37" s="62" t="str">
        <f t="shared" ref="Q37:Q42" si="14">O37</f>
        <v>€/t Cap.</v>
      </c>
      <c r="R37" s="211"/>
      <c r="S37" s="207">
        <f>(V37/V40+V37*V41/100/2)*(1-V42/100)</f>
        <v>1.4333333333333333</v>
      </c>
      <c r="T37" s="62" t="s">
        <v>252</v>
      </c>
      <c r="U37" s="62"/>
      <c r="V37" s="248">
        <f>IF(ISBLANK(P37),N37,P37)</f>
        <v>15</v>
      </c>
      <c r="W37" s="81"/>
      <c r="X37" s="53"/>
      <c r="Y37" s="53" t="s">
        <v>5</v>
      </c>
      <c r="Z37" s="207">
        <f>Input_Processes!F110</f>
        <v>184</v>
      </c>
      <c r="AA37" s="62" t="s">
        <v>260</v>
      </c>
      <c r="AB37" s="211"/>
      <c r="AC37" s="62" t="str">
        <f>AA37</f>
        <v>€/t Cap.</v>
      </c>
      <c r="AD37" s="211"/>
      <c r="AE37" s="207">
        <f>(AH37/AH40+AH37*AH41/100/2)*(1-V42/100)</f>
        <v>35.164444444444442</v>
      </c>
      <c r="AF37" s="62" t="s">
        <v>252</v>
      </c>
      <c r="AG37" s="53"/>
      <c r="AH37" s="248">
        <f>IF(ISBLANK(AB37),Z37,AB37)*AH39/(AH43/100)</f>
        <v>368</v>
      </c>
      <c r="AJ37" s="53"/>
      <c r="AK37" s="184" t="s">
        <v>5</v>
      </c>
      <c r="AL37" s="207">
        <f>Input_Processes!F178</f>
        <v>184</v>
      </c>
      <c r="AM37" s="62" t="s">
        <v>260</v>
      </c>
      <c r="AN37" s="168"/>
      <c r="AO37" s="53"/>
      <c r="AP37" s="168"/>
      <c r="AQ37" s="207">
        <f>(AT37/AT40+AT37*AT41/100/2)*(1-AH42/100)</f>
        <v>35.164444444444442</v>
      </c>
      <c r="AR37" s="62" t="s">
        <v>252</v>
      </c>
      <c r="AS37" s="62"/>
      <c r="AT37" s="248">
        <f>IF(ISBLANK(AN37),AL37,AN37)*AT39/(AT43/100)</f>
        <v>368</v>
      </c>
    </row>
    <row r="38" spans="2:47" ht="26.4">
      <c r="B38" s="53"/>
      <c r="C38" s="175"/>
      <c r="D38" s="241"/>
      <c r="E38" s="53"/>
      <c r="F38" s="198"/>
      <c r="G38" s="53"/>
      <c r="H38" s="134"/>
      <c r="I38" s="134"/>
      <c r="J38" s="250"/>
      <c r="K38" s="81"/>
      <c r="L38" s="53"/>
      <c r="M38" s="62" t="s">
        <v>254</v>
      </c>
      <c r="N38" s="247">
        <f>Input_Processes!F49</f>
        <v>17</v>
      </c>
      <c r="O38" s="62" t="s">
        <v>260</v>
      </c>
      <c r="P38" s="216"/>
      <c r="Q38" s="62" t="str">
        <f t="shared" si="14"/>
        <v>€/t Cap.</v>
      </c>
      <c r="R38" s="211"/>
      <c r="S38" s="207">
        <f>(V38/V40+V38*V41/100/2)*(1-V42/100)</f>
        <v>1.6244444444444444</v>
      </c>
      <c r="T38" s="62" t="s">
        <v>252</v>
      </c>
      <c r="U38" s="62"/>
      <c r="V38" s="248">
        <f>IF(ISBLANK(P38),N38,P38)</f>
        <v>17</v>
      </c>
      <c r="W38" s="81"/>
      <c r="X38" s="53"/>
      <c r="Y38" s="195" t="s">
        <v>266</v>
      </c>
      <c r="Z38" s="213">
        <v>1.8</v>
      </c>
      <c r="AA38" s="214"/>
      <c r="AB38" s="211"/>
      <c r="AC38" s="62"/>
      <c r="AD38" s="211"/>
      <c r="AE38" s="207"/>
      <c r="AF38" s="62"/>
      <c r="AG38" s="53"/>
      <c r="AH38" s="248">
        <f t="shared" ref="AH38:AH43" si="15">IF(ISBLANK(AB38),Z38,AB38)</f>
        <v>1.8</v>
      </c>
      <c r="AJ38" s="53"/>
      <c r="AK38" s="198" t="s">
        <v>58</v>
      </c>
      <c r="AL38" s="213">
        <v>1.8</v>
      </c>
      <c r="AM38" s="62"/>
      <c r="AN38" s="168"/>
      <c r="AO38" s="53"/>
      <c r="AP38" s="168"/>
      <c r="AQ38" s="207"/>
      <c r="AR38" s="62"/>
      <c r="AS38" s="62"/>
      <c r="AT38" s="248">
        <f t="shared" ref="AT38:AT39" si="16">IF(ISBLANK(AN38),AL38,AN38)</f>
        <v>1.8</v>
      </c>
    </row>
    <row r="39" spans="2:47" ht="26.4">
      <c r="B39" s="53"/>
      <c r="C39" s="175"/>
      <c r="D39" s="241"/>
      <c r="E39" s="53"/>
      <c r="F39" s="198"/>
      <c r="G39" s="53"/>
      <c r="H39" s="134"/>
      <c r="I39" s="134"/>
      <c r="J39" s="250"/>
      <c r="K39" s="81"/>
      <c r="L39" s="53"/>
      <c r="M39" s="62" t="s">
        <v>255</v>
      </c>
      <c r="N39" s="247">
        <f>Input_Processes!F52</f>
        <v>64</v>
      </c>
      <c r="O39" s="62" t="s">
        <v>260</v>
      </c>
      <c r="P39" s="216"/>
      <c r="Q39" s="62" t="str">
        <f t="shared" si="14"/>
        <v>€/t Cap.</v>
      </c>
      <c r="R39" s="211"/>
      <c r="S39" s="207">
        <f>(V39/V40+V39*V41/100/2)*(1-V42/100)</f>
        <v>6.1155555555555559</v>
      </c>
      <c r="T39" s="62" t="s">
        <v>252</v>
      </c>
      <c r="U39" s="62"/>
      <c r="V39" s="248">
        <f>IF(ISBLANK(P39),N39,P39)</f>
        <v>64</v>
      </c>
      <c r="W39" s="81"/>
      <c r="X39" s="53"/>
      <c r="Y39" s="195" t="s">
        <v>267</v>
      </c>
      <c r="Z39" s="213">
        <v>1.8</v>
      </c>
      <c r="AA39" s="214"/>
      <c r="AB39" s="211"/>
      <c r="AC39" s="62"/>
      <c r="AD39" s="211"/>
      <c r="AE39" s="207"/>
      <c r="AF39" s="62"/>
      <c r="AG39" s="53"/>
      <c r="AH39" s="248">
        <f t="shared" si="15"/>
        <v>1.8</v>
      </c>
      <c r="AJ39" s="53"/>
      <c r="AK39" s="198" t="s">
        <v>59</v>
      </c>
      <c r="AL39" s="213">
        <v>1.8</v>
      </c>
      <c r="AM39" s="62"/>
      <c r="AN39" s="168"/>
      <c r="AO39" s="53"/>
      <c r="AP39" s="168"/>
      <c r="AQ39" s="207"/>
      <c r="AR39" s="62"/>
      <c r="AS39" s="62"/>
      <c r="AT39" s="248">
        <f t="shared" si="16"/>
        <v>1.8</v>
      </c>
    </row>
    <row r="40" spans="2:47">
      <c r="B40" s="303"/>
      <c r="C40" s="175" t="s">
        <v>230</v>
      </c>
      <c r="D40" s="241"/>
      <c r="E40" s="303"/>
      <c r="F40" s="198"/>
      <c r="G40" s="303"/>
      <c r="H40" s="328"/>
      <c r="I40" s="328"/>
      <c r="J40" s="250"/>
      <c r="K40" s="81"/>
      <c r="L40" s="303"/>
      <c r="M40" s="62"/>
      <c r="N40" s="329">
        <f>Input_Prices!$L$39</f>
        <v>18</v>
      </c>
      <c r="O40" s="62" t="s">
        <v>7</v>
      </c>
      <c r="P40" s="216"/>
      <c r="Q40" s="62" t="str">
        <f t="shared" si="14"/>
        <v>a</v>
      </c>
      <c r="R40" s="211"/>
      <c r="S40" s="207"/>
      <c r="T40" s="62"/>
      <c r="U40" s="62"/>
      <c r="V40" s="248">
        <f t="shared" ref="V40:V42" si="17">IF(ISBLANK(P40),N40,P40)</f>
        <v>18</v>
      </c>
      <c r="W40" s="81"/>
      <c r="X40" s="303"/>
      <c r="Y40" s="195"/>
      <c r="Z40" s="329">
        <f>Input_Prices!$L$39</f>
        <v>18</v>
      </c>
      <c r="AA40" s="62" t="s">
        <v>7</v>
      </c>
      <c r="AB40" s="211"/>
      <c r="AC40" s="62" t="str">
        <f t="shared" ref="AC40:AC42" si="18">AA40</f>
        <v>a</v>
      </c>
      <c r="AD40" s="211"/>
      <c r="AE40" s="207"/>
      <c r="AF40" s="62"/>
      <c r="AG40" s="303"/>
      <c r="AH40" s="248">
        <f t="shared" si="15"/>
        <v>18</v>
      </c>
      <c r="AJ40" s="303"/>
      <c r="AK40" s="198"/>
      <c r="AL40" s="329">
        <f>Input_Prices!$L$39</f>
        <v>18</v>
      </c>
      <c r="AM40" s="62" t="s">
        <v>7</v>
      </c>
      <c r="AN40" s="211"/>
      <c r="AO40" s="62" t="str">
        <f t="shared" ref="AO40:AO42" si="19">AM40</f>
        <v>a</v>
      </c>
      <c r="AP40" s="211"/>
      <c r="AQ40" s="207"/>
      <c r="AR40" s="62"/>
      <c r="AS40" s="303"/>
      <c r="AT40" s="248">
        <f t="shared" ref="AT40:AT43" si="20">IF(ISBLANK(AN40),AL40,AN40)</f>
        <v>18</v>
      </c>
    </row>
    <row r="41" spans="2:47">
      <c r="B41" s="303"/>
      <c r="C41" s="175" t="s">
        <v>231</v>
      </c>
      <c r="D41" s="241"/>
      <c r="E41" s="303"/>
      <c r="F41" s="198"/>
      <c r="G41" s="303"/>
      <c r="H41" s="328"/>
      <c r="I41" s="328"/>
      <c r="J41" s="250"/>
      <c r="K41" s="81"/>
      <c r="L41" s="303"/>
      <c r="M41" s="62"/>
      <c r="N41" s="329">
        <f>Input_Prices!$L$41</f>
        <v>8</v>
      </c>
      <c r="O41" s="62" t="s">
        <v>8</v>
      </c>
      <c r="P41" s="216"/>
      <c r="Q41" s="62" t="str">
        <f t="shared" si="14"/>
        <v>%</v>
      </c>
      <c r="R41" s="211"/>
      <c r="S41" s="207"/>
      <c r="T41" s="62"/>
      <c r="U41" s="62"/>
      <c r="V41" s="248">
        <f t="shared" si="17"/>
        <v>8</v>
      </c>
      <c r="W41" s="81"/>
      <c r="X41" s="303"/>
      <c r="Y41" s="195"/>
      <c r="Z41" s="329">
        <f>Input_Prices!$L$41</f>
        <v>8</v>
      </c>
      <c r="AA41" s="62" t="s">
        <v>8</v>
      </c>
      <c r="AB41" s="211"/>
      <c r="AC41" s="62" t="str">
        <f t="shared" si="18"/>
        <v>%</v>
      </c>
      <c r="AD41" s="211"/>
      <c r="AE41" s="207"/>
      <c r="AF41" s="62"/>
      <c r="AG41" s="303"/>
      <c r="AH41" s="248">
        <f t="shared" si="15"/>
        <v>8</v>
      </c>
      <c r="AJ41" s="303"/>
      <c r="AK41" s="198"/>
      <c r="AL41" s="329">
        <f>Input_Prices!$L$41</f>
        <v>8</v>
      </c>
      <c r="AM41" s="62" t="s">
        <v>8</v>
      </c>
      <c r="AN41" s="211"/>
      <c r="AO41" s="62" t="str">
        <f t="shared" si="19"/>
        <v>%</v>
      </c>
      <c r="AP41" s="211"/>
      <c r="AQ41" s="207"/>
      <c r="AR41" s="62"/>
      <c r="AS41" s="303"/>
      <c r="AT41" s="248">
        <f t="shared" si="20"/>
        <v>8</v>
      </c>
    </row>
    <row r="42" spans="2:47">
      <c r="B42" s="303"/>
      <c r="C42" s="175" t="s">
        <v>232</v>
      </c>
      <c r="D42" s="241"/>
      <c r="E42" s="303"/>
      <c r="F42" s="198"/>
      <c r="G42" s="303"/>
      <c r="H42" s="328"/>
      <c r="I42" s="328"/>
      <c r="J42" s="250"/>
      <c r="K42" s="81"/>
      <c r="L42" s="303"/>
      <c r="M42" s="62"/>
      <c r="N42" s="329">
        <v>0</v>
      </c>
      <c r="O42" s="62" t="s">
        <v>8</v>
      </c>
      <c r="P42" s="216"/>
      <c r="Q42" s="62" t="str">
        <f t="shared" si="14"/>
        <v>%</v>
      </c>
      <c r="R42" s="211"/>
      <c r="S42" s="207"/>
      <c r="T42" s="62"/>
      <c r="U42" s="62"/>
      <c r="V42" s="248">
        <f t="shared" si="17"/>
        <v>0</v>
      </c>
      <c r="W42" s="81"/>
      <c r="X42" s="303"/>
      <c r="Y42" s="195"/>
      <c r="Z42" s="329">
        <v>0</v>
      </c>
      <c r="AA42" s="62" t="s">
        <v>8</v>
      </c>
      <c r="AB42" s="211"/>
      <c r="AC42" s="62" t="str">
        <f t="shared" si="18"/>
        <v>%</v>
      </c>
      <c r="AD42" s="211"/>
      <c r="AE42" s="207"/>
      <c r="AF42" s="62"/>
      <c r="AG42" s="303"/>
      <c r="AH42" s="248">
        <f t="shared" si="15"/>
        <v>0</v>
      </c>
      <c r="AJ42" s="303"/>
      <c r="AK42" s="198"/>
      <c r="AL42" s="329">
        <v>0</v>
      </c>
      <c r="AM42" s="62" t="s">
        <v>8</v>
      </c>
      <c r="AN42" s="211"/>
      <c r="AO42" s="62" t="str">
        <f t="shared" si="19"/>
        <v>%</v>
      </c>
      <c r="AP42" s="211"/>
      <c r="AQ42" s="207"/>
      <c r="AR42" s="62"/>
      <c r="AS42" s="303"/>
      <c r="AT42" s="248">
        <f t="shared" si="20"/>
        <v>0</v>
      </c>
    </row>
    <row r="43" spans="2:47">
      <c r="B43" s="303"/>
      <c r="C43" s="175"/>
      <c r="D43" s="241"/>
      <c r="E43" s="303"/>
      <c r="F43" s="198"/>
      <c r="G43" s="303"/>
      <c r="H43" s="328"/>
      <c r="I43" s="328"/>
      <c r="J43" s="250"/>
      <c r="K43" s="81"/>
      <c r="L43" s="303"/>
      <c r="M43" s="62"/>
      <c r="N43" s="247"/>
      <c r="O43" s="62"/>
      <c r="P43" s="330"/>
      <c r="Q43" s="331"/>
      <c r="R43" s="332"/>
      <c r="S43" s="207"/>
      <c r="T43" s="62"/>
      <c r="U43" s="62"/>
      <c r="V43" s="248"/>
      <c r="W43" s="81"/>
      <c r="X43" s="55"/>
      <c r="Y43" s="350" t="s">
        <v>268</v>
      </c>
      <c r="Z43" s="213">
        <v>90</v>
      </c>
      <c r="AA43" s="333" t="s">
        <v>8</v>
      </c>
      <c r="AB43" s="211"/>
      <c r="AC43" s="218" t="s">
        <v>8</v>
      </c>
      <c r="AD43" s="211"/>
      <c r="AE43" s="334"/>
      <c r="AF43" s="218"/>
      <c r="AG43" s="55"/>
      <c r="AH43" s="335">
        <f t="shared" si="15"/>
        <v>90</v>
      </c>
      <c r="AJ43" s="303"/>
      <c r="AK43" s="351" t="s">
        <v>268</v>
      </c>
      <c r="AL43" s="213">
        <v>90</v>
      </c>
      <c r="AM43" s="333" t="s">
        <v>8</v>
      </c>
      <c r="AN43" s="211"/>
      <c r="AO43" s="218" t="s">
        <v>8</v>
      </c>
      <c r="AP43" s="211"/>
      <c r="AQ43" s="334"/>
      <c r="AR43" s="218"/>
      <c r="AS43" s="55"/>
      <c r="AT43" s="335">
        <f t="shared" si="20"/>
        <v>90</v>
      </c>
    </row>
    <row r="44" spans="2:47">
      <c r="B44" s="53"/>
      <c r="C44" s="174" t="s">
        <v>233</v>
      </c>
      <c r="D44" s="242"/>
      <c r="E44" s="125"/>
      <c r="F44" s="244"/>
      <c r="G44" s="125"/>
      <c r="H44" s="129"/>
      <c r="I44" s="129"/>
      <c r="J44" s="252"/>
      <c r="K44" s="152"/>
      <c r="L44" s="125"/>
      <c r="M44" s="61"/>
      <c r="N44" s="209"/>
      <c r="O44" s="61"/>
      <c r="P44" s="217"/>
      <c r="Q44" s="61"/>
      <c r="R44" s="212"/>
      <c r="S44" s="246">
        <f>SUM(S36:S39)</f>
        <v>16.244444444444444</v>
      </c>
      <c r="T44" s="62" t="s">
        <v>252</v>
      </c>
      <c r="U44" s="62"/>
      <c r="V44" s="205"/>
      <c r="W44" s="152"/>
      <c r="X44" s="125"/>
      <c r="Y44" s="125"/>
      <c r="Z44" s="209"/>
      <c r="AA44" s="61"/>
      <c r="AB44" s="212"/>
      <c r="AC44" s="61"/>
      <c r="AD44" s="212"/>
      <c r="AE44" s="246">
        <f>SUM(AE36:AE39)</f>
        <v>79.12</v>
      </c>
      <c r="AF44" s="62" t="s">
        <v>252</v>
      </c>
      <c r="AG44" s="53"/>
      <c r="AH44" s="205"/>
      <c r="AI44" s="152"/>
      <c r="AJ44" s="125"/>
      <c r="AK44" s="125"/>
      <c r="AL44" s="209"/>
      <c r="AM44" s="61"/>
      <c r="AN44" s="129"/>
      <c r="AO44" s="125"/>
      <c r="AP44" s="129"/>
      <c r="AQ44" s="246">
        <f>SUM(AQ36:AQ39)</f>
        <v>79.12</v>
      </c>
      <c r="AR44" s="62" t="s">
        <v>252</v>
      </c>
      <c r="AS44" s="62"/>
      <c r="AT44" s="205"/>
      <c r="AU44" s="152"/>
    </row>
    <row r="45" spans="2:47">
      <c r="B45" s="53"/>
      <c r="C45" s="53"/>
      <c r="D45" s="241"/>
      <c r="E45" s="53"/>
      <c r="F45" s="198"/>
      <c r="G45" s="53"/>
      <c r="H45" s="134"/>
      <c r="I45" s="134"/>
      <c r="J45" s="250"/>
      <c r="K45" s="81"/>
      <c r="L45" s="53"/>
      <c r="M45" s="62"/>
      <c r="N45" s="208"/>
      <c r="O45" s="62"/>
      <c r="P45" s="215"/>
      <c r="Q45" s="62"/>
      <c r="R45" s="141"/>
      <c r="S45" s="207"/>
      <c r="T45" s="62"/>
      <c r="U45" s="62"/>
      <c r="V45" s="205"/>
      <c r="W45" s="81"/>
      <c r="X45" s="53"/>
      <c r="Y45" s="53"/>
      <c r="Z45" s="208"/>
      <c r="AA45" s="62"/>
      <c r="AB45" s="141"/>
      <c r="AC45" s="62"/>
      <c r="AD45" s="141"/>
      <c r="AE45" s="207"/>
      <c r="AF45" s="62"/>
      <c r="AG45" s="53"/>
      <c r="AH45" s="205"/>
      <c r="AJ45" s="53"/>
      <c r="AK45" s="53"/>
      <c r="AL45" s="208"/>
      <c r="AM45" s="62"/>
      <c r="AN45" s="134"/>
      <c r="AO45" s="53"/>
      <c r="AP45" s="134"/>
      <c r="AQ45" s="207"/>
      <c r="AR45" s="62"/>
      <c r="AS45" s="62"/>
      <c r="AT45" s="205"/>
    </row>
    <row r="46" spans="2:47" ht="15.6">
      <c r="B46" s="53"/>
      <c r="C46" s="176" t="s">
        <v>234</v>
      </c>
      <c r="D46" s="241"/>
      <c r="E46" s="53"/>
      <c r="F46" s="198"/>
      <c r="G46" s="53"/>
      <c r="H46" s="134"/>
      <c r="I46" s="134"/>
      <c r="J46" s="250"/>
      <c r="K46" s="81"/>
      <c r="L46" s="53"/>
      <c r="M46" s="62"/>
      <c r="N46" s="208"/>
      <c r="O46" s="62"/>
      <c r="P46" s="215"/>
      <c r="Q46" s="62"/>
      <c r="R46" s="141"/>
      <c r="S46" s="207"/>
      <c r="T46" s="62"/>
      <c r="U46" s="62"/>
      <c r="V46" s="205"/>
      <c r="W46" s="81"/>
      <c r="X46" s="53"/>
      <c r="Y46" s="53"/>
      <c r="Z46" s="208"/>
      <c r="AA46" s="62"/>
      <c r="AB46" s="141"/>
      <c r="AC46" s="62"/>
      <c r="AD46" s="141"/>
      <c r="AE46" s="207"/>
      <c r="AF46" s="62"/>
      <c r="AG46" s="53"/>
      <c r="AH46" s="205"/>
      <c r="AJ46" s="53"/>
      <c r="AK46" s="53"/>
      <c r="AL46" s="208"/>
      <c r="AM46" s="62"/>
      <c r="AN46" s="134"/>
      <c r="AO46" s="53"/>
      <c r="AP46" s="134"/>
      <c r="AQ46" s="207"/>
      <c r="AR46" s="62"/>
      <c r="AS46" s="62"/>
      <c r="AT46" s="205"/>
    </row>
    <row r="47" spans="2:47" ht="15.6">
      <c r="B47" s="53"/>
      <c r="C47" s="177" t="s">
        <v>236</v>
      </c>
      <c r="D47" s="241">
        <f>Input_Prices!L26</f>
        <v>100</v>
      </c>
      <c r="E47" s="53" t="s">
        <v>27</v>
      </c>
      <c r="F47" s="243"/>
      <c r="G47" s="182" t="s">
        <v>27</v>
      </c>
      <c r="H47" s="318"/>
      <c r="I47" s="134"/>
      <c r="J47" s="251">
        <f>IF(ISBLANK(F47),D47,F47)</f>
        <v>100</v>
      </c>
      <c r="K47" s="81"/>
      <c r="L47" s="53"/>
      <c r="M47" s="62"/>
      <c r="N47" s="344">
        <f>Input_Processes!F39</f>
        <v>1.71</v>
      </c>
      <c r="O47" s="62" t="s">
        <v>249</v>
      </c>
      <c r="P47" s="216"/>
      <c r="Q47" s="62" t="str">
        <f>O47</f>
        <v>t/t CS</v>
      </c>
      <c r="R47" s="211"/>
      <c r="S47" s="207">
        <f>V47*$J47</f>
        <v>171</v>
      </c>
      <c r="T47" s="62" t="s">
        <v>252</v>
      </c>
      <c r="U47" s="62"/>
      <c r="V47" s="253">
        <f>IF(ISBLANK(P47),N47,P47)</f>
        <v>1.71</v>
      </c>
      <c r="W47" s="81"/>
      <c r="X47" s="53"/>
      <c r="Y47" s="53"/>
      <c r="Z47" s="344">
        <f>Input_Processes!F98</f>
        <v>0.50566666666666671</v>
      </c>
      <c r="AA47" s="62" t="s">
        <v>249</v>
      </c>
      <c r="AB47" s="211"/>
      <c r="AC47" s="62" t="str">
        <f>AA47</f>
        <v>t/t CS</v>
      </c>
      <c r="AD47" s="211"/>
      <c r="AE47" s="207">
        <f>AH47*$J47</f>
        <v>50.56666666666667</v>
      </c>
      <c r="AF47" s="62" t="s">
        <v>252</v>
      </c>
      <c r="AG47" s="53"/>
      <c r="AH47" s="253">
        <f t="shared" ref="AH47:AH48" si="21">IF(ISBLANK(AB47),Z47,AB47)</f>
        <v>0.50566666666666671</v>
      </c>
      <c r="AJ47" s="53"/>
      <c r="AK47" s="53"/>
      <c r="AL47" s="207">
        <f>AL48</f>
        <v>9.2332435432000037E-2</v>
      </c>
      <c r="AM47" s="62" t="s">
        <v>249</v>
      </c>
      <c r="AN47" s="168"/>
      <c r="AO47" s="170"/>
      <c r="AP47" s="168"/>
      <c r="AQ47" s="207">
        <f>AT47*$J47</f>
        <v>9.233243543200004</v>
      </c>
      <c r="AR47" s="62" t="s">
        <v>252</v>
      </c>
      <c r="AS47" s="62"/>
      <c r="AT47" s="253">
        <f>IF(ISBLANK(AN47),AL47,AN47)</f>
        <v>9.2332435432000037E-2</v>
      </c>
    </row>
    <row r="48" spans="2:47" ht="15.6">
      <c r="B48" s="53"/>
      <c r="C48" s="177" t="s">
        <v>235</v>
      </c>
      <c r="D48" s="241">
        <f>D47</f>
        <v>100</v>
      </c>
      <c r="E48" s="53" t="s">
        <v>27</v>
      </c>
      <c r="F48" s="319"/>
      <c r="G48" s="22" t="s">
        <v>27</v>
      </c>
      <c r="H48" s="320"/>
      <c r="I48" s="134"/>
      <c r="J48" s="251">
        <f>IF(ISBLANK(F48),D48,F48)</f>
        <v>100</v>
      </c>
      <c r="K48" s="81"/>
      <c r="L48" s="53"/>
      <c r="M48" s="62"/>
      <c r="N48" s="255">
        <f>(V10*0.79+V11*0.79+V18*0.12+V12*0.903*0.559-0.0109)*3.664</f>
        <v>2.0173006933333335</v>
      </c>
      <c r="O48" s="62" t="s">
        <v>262</v>
      </c>
      <c r="P48" s="216"/>
      <c r="Q48" s="62" t="str">
        <f>O48</f>
        <v>t/t CS*</v>
      </c>
      <c r="R48" s="211"/>
      <c r="S48" s="207">
        <f>V48*$J48</f>
        <v>201.73006933333335</v>
      </c>
      <c r="T48" s="62" t="s">
        <v>252</v>
      </c>
      <c r="U48" s="62"/>
      <c r="V48" s="253">
        <f>IF(ISBLANK(P48),N48,P48)</f>
        <v>2.0173006933333335</v>
      </c>
      <c r="W48" s="81"/>
      <c r="X48" s="53"/>
      <c r="Y48" s="53"/>
      <c r="Z48" s="203">
        <f>(AH18*0.12+AH12*0.903*0.0559-0.0109+AH19*0.98)*3.664</f>
        <v>0.5327492961877579</v>
      </c>
      <c r="AA48" s="62" t="s">
        <v>262</v>
      </c>
      <c r="AB48" s="211"/>
      <c r="AC48" s="62" t="str">
        <f>AA48</f>
        <v>t/t CS*</v>
      </c>
      <c r="AD48" s="211"/>
      <c r="AE48" s="207">
        <f>AH48*$J48</f>
        <v>53.274929618775793</v>
      </c>
      <c r="AF48" s="62" t="s">
        <v>252</v>
      </c>
      <c r="AG48" s="53"/>
      <c r="AH48" s="253">
        <f t="shared" si="21"/>
        <v>0.5327492961877579</v>
      </c>
      <c r="AJ48" s="53"/>
      <c r="AK48" s="53"/>
      <c r="AL48" s="207">
        <f>(AT18*0.12+AT12*0.903*0.0559-0.0109+AT19*0.79)*3.664</f>
        <v>9.2332435432000037E-2</v>
      </c>
      <c r="AM48" s="62" t="s">
        <v>261</v>
      </c>
      <c r="AN48" s="168"/>
      <c r="AO48" s="53"/>
      <c r="AP48" s="168"/>
      <c r="AQ48" s="207">
        <f>AT48*$J48</f>
        <v>9.233243543200004</v>
      </c>
      <c r="AR48" s="62" t="s">
        <v>252</v>
      </c>
      <c r="AS48" s="62"/>
      <c r="AT48" s="253">
        <f>IF(ISBLANK(AN48),AL48,AN48)</f>
        <v>9.2332435432000037E-2</v>
      </c>
    </row>
    <row r="49" spans="2:46">
      <c r="B49" s="53"/>
      <c r="C49" s="177"/>
      <c r="D49" s="241"/>
      <c r="E49" s="53"/>
      <c r="F49" s="245"/>
      <c r="G49" s="22"/>
      <c r="H49" s="315"/>
      <c r="I49" s="134"/>
      <c r="J49" s="251"/>
      <c r="K49" s="81"/>
      <c r="L49" s="53"/>
      <c r="M49" s="62"/>
      <c r="N49" s="208"/>
      <c r="O49" s="62"/>
      <c r="P49" s="215"/>
      <c r="Q49" s="62"/>
      <c r="R49" s="141"/>
      <c r="S49" s="207"/>
      <c r="T49" s="62"/>
      <c r="U49" s="62"/>
      <c r="V49" s="254"/>
      <c r="W49" s="81"/>
      <c r="X49" s="53"/>
      <c r="Y49" s="53"/>
      <c r="Z49" s="208"/>
      <c r="AA49" s="62"/>
      <c r="AB49" s="141"/>
      <c r="AC49" s="62"/>
      <c r="AD49" s="141"/>
      <c r="AE49" s="207"/>
      <c r="AF49" s="62"/>
      <c r="AG49" s="53"/>
      <c r="AH49" s="254"/>
      <c r="AJ49" s="53"/>
      <c r="AK49" s="53"/>
      <c r="AL49" s="208"/>
      <c r="AM49" s="62"/>
      <c r="AN49" s="134"/>
      <c r="AO49" s="53"/>
      <c r="AP49" s="134"/>
      <c r="AQ49" s="207"/>
      <c r="AR49" s="62"/>
      <c r="AS49" s="62"/>
      <c r="AT49" s="254"/>
    </row>
    <row r="50" spans="2:46">
      <c r="B50" s="53"/>
      <c r="C50" s="176" t="s">
        <v>237</v>
      </c>
      <c r="D50" s="241">
        <f>D47</f>
        <v>100</v>
      </c>
      <c r="E50" s="53" t="s">
        <v>27</v>
      </c>
      <c r="F50" s="319"/>
      <c r="G50" s="22" t="s">
        <v>27</v>
      </c>
      <c r="H50" s="320"/>
      <c r="I50" s="134"/>
      <c r="J50" s="251">
        <f>IF(ISBLANK(F50),D50,F50)</f>
        <v>100</v>
      </c>
      <c r="K50" s="81"/>
      <c r="L50" s="53"/>
      <c r="M50" s="62"/>
      <c r="N50" s="256">
        <f>Input_Prices!L50+Input_Prices!L51+Input_Prices!L52*0.32</f>
        <v>1.48908</v>
      </c>
      <c r="O50" s="62" t="s">
        <v>261</v>
      </c>
      <c r="P50" s="216"/>
      <c r="Q50" s="62" t="str">
        <f>O50</f>
        <v>t/t CS**</v>
      </c>
      <c r="R50" s="211"/>
      <c r="S50" s="207">
        <f>(-1)*V50*$J50</f>
        <v>-148.90799999999999</v>
      </c>
      <c r="T50" s="62" t="s">
        <v>252</v>
      </c>
      <c r="U50" s="62"/>
      <c r="V50" s="253">
        <f>IF(ISBLANK(P50),N50,P50)</f>
        <v>1.48908</v>
      </c>
      <c r="W50" s="81"/>
      <c r="X50" s="53"/>
      <c r="Y50" s="53"/>
      <c r="Z50" s="203">
        <f>AH12*0.903*(0.25*Input_Prices!L55+0.75*0.0559*3.664*Input_Prices!L56)</f>
        <v>0.48640672862942286</v>
      </c>
      <c r="AA50" s="62" t="s">
        <v>261</v>
      </c>
      <c r="AB50" s="211"/>
      <c r="AC50" s="62" t="str">
        <f>AA50</f>
        <v>t/t CS**</v>
      </c>
      <c r="AD50" s="211"/>
      <c r="AE50" s="207">
        <f>(-1)*AH50*$J50</f>
        <v>-48.640672862942289</v>
      </c>
      <c r="AF50" s="62" t="s">
        <v>252</v>
      </c>
      <c r="AG50" s="53"/>
      <c r="AH50" s="253">
        <f t="shared" ref="AH50" si="22">IF(ISBLANK(AB50),Z50,AB50)</f>
        <v>0.48640672862942286</v>
      </c>
      <c r="AJ50" s="53"/>
      <c r="AK50" s="53"/>
      <c r="AL50" s="256">
        <f>AT12*0.903*(0*Input_Prices!L55+1*0.0559*3.664*Input_Prices!L56)</f>
        <v>0.10136200796904</v>
      </c>
      <c r="AM50" s="62" t="s">
        <v>271</v>
      </c>
      <c r="AN50" s="168"/>
      <c r="AO50" s="53"/>
      <c r="AP50" s="168"/>
      <c r="AQ50" s="207">
        <f>(-1)*AT50*$J50</f>
        <v>-10.136200796904001</v>
      </c>
      <c r="AR50" s="62" t="s">
        <v>252</v>
      </c>
      <c r="AS50" s="62"/>
      <c r="AT50" s="253">
        <f>IF(ISBLANK(AN50),AL50,AN50)</f>
        <v>0.10136200796904</v>
      </c>
    </row>
    <row r="51" spans="2:46">
      <c r="B51" s="53"/>
      <c r="C51" s="125"/>
      <c r="D51" s="190"/>
      <c r="E51" s="53"/>
      <c r="F51" s="191"/>
      <c r="G51" s="53"/>
      <c r="H51" s="134"/>
      <c r="I51" s="134"/>
      <c r="J51" s="251"/>
      <c r="K51" s="81"/>
      <c r="L51" s="53"/>
      <c r="M51" s="62"/>
      <c r="N51" s="207"/>
      <c r="O51" s="62"/>
      <c r="P51" s="215"/>
      <c r="Q51" s="62"/>
      <c r="R51" s="141"/>
      <c r="S51" s="210"/>
      <c r="T51" s="62"/>
      <c r="U51" s="62"/>
      <c r="V51" s="204"/>
      <c r="W51" s="81"/>
      <c r="X51" s="53"/>
      <c r="Y51" s="53"/>
      <c r="Z51" s="207"/>
      <c r="AA51" s="62"/>
      <c r="AB51" s="141"/>
      <c r="AC51" s="62"/>
      <c r="AD51" s="141"/>
      <c r="AE51" s="210"/>
      <c r="AF51" s="62"/>
      <c r="AG51" s="53"/>
      <c r="AH51" s="150"/>
      <c r="AJ51" s="53"/>
      <c r="AK51" s="53"/>
      <c r="AL51" s="207"/>
      <c r="AM51" s="62"/>
      <c r="AN51" s="134"/>
      <c r="AO51" s="53"/>
      <c r="AP51" s="134"/>
      <c r="AQ51" s="186"/>
      <c r="AR51" s="53"/>
      <c r="AS51" s="53"/>
      <c r="AT51" s="201"/>
    </row>
    <row r="52" spans="2:46">
      <c r="B52" s="53"/>
      <c r="C52" s="53"/>
      <c r="D52" s="190"/>
      <c r="E52" s="53"/>
      <c r="F52" s="191"/>
      <c r="G52" s="53"/>
      <c r="H52" s="134"/>
      <c r="I52" s="134"/>
      <c r="J52" s="81"/>
      <c r="K52" s="81"/>
      <c r="L52" s="53"/>
      <c r="M52" s="62" t="s">
        <v>258</v>
      </c>
      <c r="N52" s="208"/>
      <c r="O52" s="62"/>
      <c r="P52" s="215"/>
      <c r="Q52" s="62"/>
      <c r="R52" s="141"/>
      <c r="S52" s="208"/>
      <c r="T52" s="62"/>
      <c r="U52" s="62"/>
      <c r="V52" s="205"/>
      <c r="W52" s="81"/>
      <c r="X52" s="53"/>
      <c r="Y52" s="53" t="s">
        <v>258</v>
      </c>
      <c r="Z52" s="184"/>
      <c r="AA52" s="53"/>
      <c r="AB52" s="134"/>
      <c r="AC52" s="53"/>
      <c r="AD52" s="134"/>
      <c r="AE52" s="184"/>
      <c r="AF52" s="53"/>
      <c r="AG52" s="53"/>
      <c r="AH52" s="81"/>
      <c r="AJ52" s="53"/>
      <c r="AK52" s="53" t="s">
        <v>272</v>
      </c>
      <c r="AL52" s="184"/>
      <c r="AM52" s="53"/>
      <c r="AN52" s="134"/>
      <c r="AO52" s="53"/>
      <c r="AP52" s="134"/>
      <c r="AQ52" s="184"/>
      <c r="AR52" s="53"/>
      <c r="AS52" s="53"/>
      <c r="AT52" s="81"/>
    </row>
    <row r="53" spans="2:46" ht="6.45" customHeight="1">
      <c r="B53" s="53"/>
      <c r="C53" s="53"/>
      <c r="D53" s="190"/>
      <c r="E53" s="53"/>
      <c r="F53" s="191"/>
      <c r="G53" s="53"/>
      <c r="H53" s="134"/>
      <c r="I53" s="134"/>
      <c r="J53" s="81"/>
      <c r="K53" s="81"/>
      <c r="L53" s="53"/>
      <c r="M53" s="62"/>
      <c r="N53" s="208"/>
      <c r="O53" s="62"/>
      <c r="P53" s="215"/>
      <c r="Q53" s="62"/>
      <c r="R53" s="141"/>
      <c r="S53" s="208"/>
      <c r="T53" s="62"/>
      <c r="U53" s="62"/>
      <c r="V53" s="205"/>
      <c r="W53" s="81"/>
      <c r="X53" s="53"/>
      <c r="Y53" s="196"/>
      <c r="Z53" s="291"/>
      <c r="AA53" s="196"/>
      <c r="AB53" s="292"/>
      <c r="AC53" s="196"/>
      <c r="AD53" s="292"/>
      <c r="AE53" s="291"/>
      <c r="AF53" s="53"/>
      <c r="AG53" s="53"/>
      <c r="AH53" s="81"/>
      <c r="AJ53" s="53"/>
      <c r="AK53" s="53"/>
      <c r="AL53" s="184"/>
      <c r="AM53" s="53"/>
      <c r="AN53" s="134"/>
      <c r="AO53" s="53"/>
      <c r="AP53" s="134"/>
      <c r="AQ53" s="184"/>
      <c r="AR53" s="53"/>
      <c r="AS53" s="53"/>
      <c r="AT53" s="81"/>
    </row>
    <row r="54" spans="2:46" s="81" customFormat="1" ht="58.2" customHeight="1">
      <c r="B54" s="53"/>
      <c r="C54" s="53"/>
      <c r="D54" s="184"/>
      <c r="E54" s="53"/>
      <c r="F54" s="191"/>
      <c r="G54" s="53"/>
      <c r="H54" s="134"/>
      <c r="I54" s="134"/>
      <c r="L54" s="53"/>
      <c r="M54" s="359" t="s">
        <v>259</v>
      </c>
      <c r="N54" s="359"/>
      <c r="O54" s="359"/>
      <c r="P54" s="359"/>
      <c r="Q54" s="359"/>
      <c r="R54" s="359"/>
      <c r="S54" s="359"/>
      <c r="T54" s="359"/>
      <c r="U54" s="62"/>
      <c r="V54" s="205"/>
      <c r="X54" s="53"/>
      <c r="Y54" s="362" t="s">
        <v>269</v>
      </c>
      <c r="Z54" s="362"/>
      <c r="AA54" s="362"/>
      <c r="AB54" s="362"/>
      <c r="AC54" s="362"/>
      <c r="AD54" s="362"/>
      <c r="AE54" s="362"/>
      <c r="AF54" s="53"/>
      <c r="AG54" s="53"/>
      <c r="AJ54" s="53"/>
      <c r="AK54" s="53" t="s">
        <v>273</v>
      </c>
      <c r="AL54" s="184"/>
      <c r="AM54" s="53"/>
      <c r="AN54" s="134"/>
      <c r="AO54" s="53"/>
      <c r="AP54" s="134"/>
      <c r="AQ54" s="184"/>
      <c r="AR54" s="53"/>
      <c r="AS54" s="53"/>
    </row>
    <row r="55" spans="2:46" ht="57" customHeight="1">
      <c r="B55" s="53"/>
      <c r="C55" s="55"/>
      <c r="D55" s="188"/>
      <c r="E55" s="55"/>
      <c r="F55" s="193"/>
      <c r="G55" s="55"/>
      <c r="H55" s="133"/>
      <c r="I55" s="133"/>
      <c r="L55" s="55"/>
      <c r="M55" s="218"/>
      <c r="N55" s="213"/>
      <c r="O55" s="218"/>
      <c r="P55" s="219"/>
      <c r="Q55" s="218"/>
      <c r="R55" s="126"/>
      <c r="S55" s="220"/>
      <c r="T55" s="218"/>
      <c r="U55" s="218"/>
      <c r="V55" s="221"/>
      <c r="X55" s="55"/>
      <c r="Y55" s="55"/>
      <c r="Z55" s="188"/>
      <c r="AA55" s="55"/>
      <c r="AB55" s="133"/>
      <c r="AC55" s="55"/>
      <c r="AD55" s="133"/>
      <c r="AE55" s="188"/>
      <c r="AF55" s="55"/>
      <c r="AG55" s="55"/>
      <c r="AJ55" s="53"/>
      <c r="AK55" s="357" t="s">
        <v>274</v>
      </c>
      <c r="AL55" s="357"/>
      <c r="AM55" s="357"/>
      <c r="AN55" s="357"/>
      <c r="AO55" s="357"/>
      <c r="AP55" s="357"/>
      <c r="AQ55" s="357"/>
      <c r="AR55" s="357"/>
      <c r="AS55" s="55"/>
    </row>
    <row r="56" spans="2:46">
      <c r="B56" s="53"/>
      <c r="C56" s="55"/>
      <c r="D56" s="188"/>
      <c r="E56" s="55"/>
      <c r="F56" s="193"/>
      <c r="G56" s="55"/>
      <c r="H56" s="133"/>
      <c r="I56" s="133"/>
      <c r="L56" s="55"/>
      <c r="M56" s="55"/>
      <c r="N56" s="188"/>
      <c r="O56" s="55"/>
      <c r="P56" s="193"/>
      <c r="Q56" s="55"/>
      <c r="R56" s="133"/>
      <c r="S56" s="188"/>
      <c r="T56" s="55"/>
      <c r="U56" s="55"/>
      <c r="X56" s="55"/>
      <c r="Y56" s="55"/>
      <c r="Z56" s="188"/>
      <c r="AA56" s="55"/>
      <c r="AB56" s="133"/>
      <c r="AC56" s="55"/>
      <c r="AD56" s="133"/>
      <c r="AE56" s="188"/>
      <c r="AF56" s="55"/>
      <c r="AG56" s="55"/>
      <c r="AJ56" s="53"/>
      <c r="AK56" s="303"/>
      <c r="AL56" s="188"/>
      <c r="AM56" s="55"/>
      <c r="AN56" s="133"/>
      <c r="AO56" s="55"/>
      <c r="AP56" s="133"/>
      <c r="AQ56" s="188"/>
      <c r="AR56" s="55"/>
      <c r="AS56" s="55"/>
    </row>
    <row r="57" spans="2:46">
      <c r="B57" s="53"/>
      <c r="C57" s="55"/>
      <c r="D57" s="188"/>
      <c r="E57" s="55"/>
      <c r="F57" s="193"/>
      <c r="G57" s="55"/>
      <c r="H57" s="133"/>
      <c r="I57" s="133"/>
      <c r="L57" s="55"/>
      <c r="M57" s="55"/>
      <c r="N57" s="188"/>
      <c r="O57" s="55"/>
      <c r="P57" s="193"/>
      <c r="Q57" s="55"/>
      <c r="R57" s="133"/>
      <c r="S57" s="188"/>
      <c r="T57" s="55"/>
      <c r="U57" s="55"/>
      <c r="X57" s="55"/>
      <c r="Y57" s="55"/>
      <c r="Z57" s="188"/>
      <c r="AA57" s="55"/>
      <c r="AB57" s="133"/>
      <c r="AC57" s="55"/>
      <c r="AD57" s="133"/>
      <c r="AE57" s="188"/>
      <c r="AF57" s="55"/>
      <c r="AG57" s="55"/>
      <c r="AJ57" s="53"/>
      <c r="AK57" s="53"/>
      <c r="AL57" s="188"/>
      <c r="AM57" s="55"/>
      <c r="AN57" s="133"/>
      <c r="AO57" s="55"/>
      <c r="AP57" s="133"/>
      <c r="AQ57" s="188"/>
      <c r="AR57" s="55"/>
      <c r="AS57" s="55"/>
    </row>
  </sheetData>
  <sheetProtection algorithmName="SHA-512" hashValue="I8hS1BmDo2QkWd/gVdzis/u/wRRc0pH1qCdSQm9zlUVP8KqC+rJ6Qm8XbwwwxpMYlYpvxbr9qK1u3SVt/EdYYg==" saltValue="ppShtvI6igl3mMXRTulNXw==" spinCount="100000" sheet="1" objects="1" scenarios="1"/>
  <mergeCells count="14">
    <mergeCell ref="AK55:AR55"/>
    <mergeCell ref="D7:H7"/>
    <mergeCell ref="M54:T54"/>
    <mergeCell ref="Y3:AF3"/>
    <mergeCell ref="AK3:AR3"/>
    <mergeCell ref="M3:T3"/>
    <mergeCell ref="AL7:AO7"/>
    <mergeCell ref="AQ7:AR7"/>
    <mergeCell ref="N7:Q7"/>
    <mergeCell ref="S7:T7"/>
    <mergeCell ref="Z7:AC7"/>
    <mergeCell ref="AE7:AF7"/>
    <mergeCell ref="Y54:AE54"/>
    <mergeCell ref="E3:H3"/>
  </mergeCells>
  <pageMargins left="0.7" right="0.7" top="0.75" bottom="0.75" header="0.3" footer="0.3"/>
  <pageSetup orientation="portrait" verticalDpi="60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E77"/>
  <sheetViews>
    <sheetView zoomScale="85" zoomScaleNormal="85" workbookViewId="0"/>
  </sheetViews>
  <sheetFormatPr baseColWidth="10" defaultColWidth="10" defaultRowHeight="13.2"/>
  <cols>
    <col min="1" max="2" width="3" style="1" customWidth="1"/>
    <col min="3" max="3" width="10" style="1"/>
    <col min="4" max="4" width="11.69921875" style="1" customWidth="1"/>
    <col min="5" max="5" width="10.69921875" style="1" bestFit="1" customWidth="1"/>
    <col min="6" max="6" width="11.69921875" style="1" customWidth="1"/>
    <col min="7" max="7" width="11.69921875" style="1" bestFit="1" customWidth="1"/>
    <col min="8" max="9" width="10" style="1"/>
    <col min="10" max="10" width="5.69921875" style="1" customWidth="1"/>
    <col min="11" max="11" width="3" style="1" customWidth="1"/>
    <col min="12" max="12" width="4.19921875" style="1" customWidth="1"/>
    <col min="13" max="13" width="3" style="1" customWidth="1"/>
    <col min="14" max="14" width="16.69921875" style="1" bestFit="1" customWidth="1"/>
    <col min="15" max="15" width="17.296875" style="1" customWidth="1"/>
    <col min="16" max="16" width="17.69921875" style="1" customWidth="1"/>
    <col min="17" max="17" width="10" style="1"/>
    <col min="18" max="18" width="10" style="327"/>
    <col min="19" max="19" width="10" style="1"/>
    <col min="20" max="20" width="8.69921875" style="1" customWidth="1"/>
    <col min="21" max="21" width="3" style="1" customWidth="1"/>
    <col min="22" max="22" width="4.19921875" style="1" customWidth="1"/>
    <col min="23" max="23" width="3" style="1" customWidth="1"/>
    <col min="24" max="24" width="22.19921875" style="1" customWidth="1"/>
    <col min="25" max="25" width="11.59765625" style="1" customWidth="1"/>
    <col min="26" max="29" width="10" style="1"/>
    <col min="30" max="30" width="6.19921875" style="1" customWidth="1"/>
    <col min="31" max="31" width="3" style="1" customWidth="1"/>
    <col min="32" max="16384" width="10" style="1"/>
  </cols>
  <sheetData>
    <row r="2" spans="2:31">
      <c r="B2" s="22"/>
      <c r="C2" s="22"/>
      <c r="D2" s="22"/>
      <c r="E2" s="22"/>
      <c r="F2" s="22"/>
      <c r="G2" s="22"/>
      <c r="H2" s="22"/>
      <c r="I2" s="22"/>
      <c r="J2" s="22"/>
      <c r="K2" s="22"/>
      <c r="L2" s="22"/>
      <c r="M2" s="22"/>
      <c r="N2" s="22"/>
      <c r="O2" s="22"/>
      <c r="P2" s="22"/>
      <c r="Q2" s="22"/>
      <c r="R2" s="324"/>
      <c r="S2" s="22"/>
      <c r="T2" s="22"/>
      <c r="U2" s="22"/>
      <c r="V2" s="22"/>
      <c r="W2" s="22"/>
      <c r="X2" s="22"/>
      <c r="Y2" s="22"/>
      <c r="Z2" s="22"/>
      <c r="AA2" s="22"/>
      <c r="AB2" s="22"/>
      <c r="AC2" s="22"/>
      <c r="AD2" s="22"/>
      <c r="AE2" s="22"/>
    </row>
    <row r="3" spans="2:31" ht="17.399999999999999">
      <c r="B3" s="22"/>
      <c r="C3" s="26" t="s">
        <v>396</v>
      </c>
      <c r="D3" s="22"/>
      <c r="E3" s="22"/>
      <c r="F3" s="22"/>
      <c r="G3" s="22"/>
      <c r="H3" s="22"/>
      <c r="I3" s="22"/>
      <c r="J3" s="22"/>
      <c r="K3" s="22"/>
      <c r="L3" s="22"/>
      <c r="M3" s="22"/>
      <c r="N3" s="22"/>
      <c r="O3" s="22"/>
      <c r="P3" s="22"/>
      <c r="Q3" s="22"/>
      <c r="R3" s="324"/>
      <c r="S3" s="22"/>
      <c r="T3" s="22"/>
      <c r="U3" s="22"/>
      <c r="V3" s="22"/>
      <c r="W3" s="22"/>
      <c r="X3" s="22"/>
      <c r="Y3" s="22"/>
      <c r="Z3" s="22"/>
      <c r="AA3" s="22"/>
      <c r="AB3" s="22"/>
      <c r="AC3" s="22"/>
      <c r="AD3" s="22"/>
      <c r="AE3" s="22"/>
    </row>
    <row r="4" spans="2:31">
      <c r="B4" s="22"/>
      <c r="C4" s="22"/>
      <c r="D4" s="22"/>
      <c r="E4" s="22"/>
      <c r="F4" s="22"/>
      <c r="G4" s="22"/>
      <c r="H4" s="22"/>
      <c r="I4" s="22"/>
      <c r="J4" s="22"/>
      <c r="K4" s="22"/>
      <c r="L4" s="22"/>
      <c r="M4" s="22"/>
      <c r="N4" s="22"/>
      <c r="O4" s="22"/>
      <c r="P4" s="22"/>
      <c r="Q4" s="22"/>
      <c r="R4" s="324"/>
      <c r="S4" s="22"/>
      <c r="T4" s="22"/>
      <c r="U4" s="22"/>
      <c r="V4" s="22"/>
      <c r="W4" s="22"/>
      <c r="X4" s="22"/>
      <c r="Y4" s="22"/>
      <c r="Z4" s="22"/>
      <c r="AA4" s="22"/>
      <c r="AB4" s="22"/>
      <c r="AC4" s="22"/>
      <c r="AD4" s="22"/>
      <c r="AE4" s="22"/>
    </row>
    <row r="5" spans="2:31">
      <c r="B5" s="22"/>
      <c r="C5" s="161" t="s">
        <v>397</v>
      </c>
      <c r="D5" s="22"/>
      <c r="E5" s="22"/>
      <c r="F5" s="22"/>
      <c r="G5" s="22"/>
      <c r="H5" s="22"/>
      <c r="I5" s="22"/>
      <c r="J5" s="22"/>
      <c r="K5" s="22"/>
      <c r="L5" s="22"/>
      <c r="M5" s="22"/>
      <c r="N5" s="22"/>
      <c r="O5" s="22"/>
      <c r="P5" s="22"/>
      <c r="Q5" s="22"/>
      <c r="R5" s="324"/>
      <c r="S5" s="22"/>
      <c r="T5" s="22"/>
      <c r="U5" s="22"/>
      <c r="V5" s="22"/>
      <c r="W5" s="22"/>
      <c r="X5" s="22"/>
      <c r="Y5" s="22"/>
      <c r="Z5" s="22"/>
      <c r="AA5" s="22"/>
      <c r="AB5" s="22"/>
      <c r="AC5" s="22"/>
      <c r="AD5" s="22"/>
      <c r="AE5" s="22"/>
    </row>
    <row r="6" spans="2:31">
      <c r="B6" s="22"/>
      <c r="C6" s="22"/>
      <c r="D6" s="22"/>
      <c r="E6" s="22"/>
      <c r="F6" s="22"/>
      <c r="G6" s="22"/>
      <c r="H6" s="22"/>
      <c r="I6" s="22"/>
      <c r="J6" s="22"/>
      <c r="K6" s="22"/>
      <c r="L6" s="22"/>
      <c r="M6" s="22"/>
      <c r="N6" s="22"/>
      <c r="O6" s="22"/>
      <c r="P6" s="22"/>
      <c r="Q6" s="22"/>
      <c r="R6" s="324"/>
      <c r="S6" s="22"/>
      <c r="T6" s="22"/>
      <c r="U6" s="22"/>
      <c r="V6" s="22"/>
      <c r="W6" s="22"/>
      <c r="X6" s="22"/>
      <c r="Y6" s="22"/>
      <c r="Z6" s="22"/>
      <c r="AA6" s="22"/>
      <c r="AB6" s="22"/>
      <c r="AC6" s="22"/>
      <c r="AD6" s="22"/>
      <c r="AE6" s="22"/>
    </row>
    <row r="8" spans="2:31" s="33" customFormat="1">
      <c r="B8" s="38"/>
      <c r="C8" s="38"/>
      <c r="D8" s="38"/>
      <c r="E8" s="38"/>
      <c r="F8" s="38"/>
      <c r="G8" s="38"/>
      <c r="H8" s="38"/>
      <c r="I8" s="38"/>
      <c r="J8" s="38"/>
      <c r="K8" s="38"/>
      <c r="M8" s="38"/>
      <c r="N8" s="38"/>
      <c r="O8" s="38"/>
      <c r="P8" s="38"/>
      <c r="Q8" s="38"/>
      <c r="R8" s="102"/>
      <c r="S8" s="38"/>
      <c r="T8" s="38"/>
      <c r="U8" s="38"/>
      <c r="W8" s="38"/>
      <c r="X8" s="38"/>
      <c r="Y8" s="38"/>
      <c r="Z8" s="38"/>
      <c r="AA8" s="38"/>
      <c r="AB8" s="38"/>
      <c r="AC8" s="38"/>
      <c r="AD8" s="38"/>
      <c r="AE8" s="38"/>
    </row>
    <row r="9" spans="2:31" s="33" customFormat="1" ht="17.399999999999999">
      <c r="B9" s="38"/>
      <c r="C9" s="38"/>
      <c r="D9" s="38"/>
      <c r="E9" s="116"/>
      <c r="F9" s="121" t="s">
        <v>403</v>
      </c>
      <c r="G9" s="38"/>
      <c r="H9" s="38"/>
      <c r="I9" s="38"/>
      <c r="J9" s="38"/>
      <c r="K9" s="38"/>
      <c r="M9" s="38"/>
      <c r="N9" s="364" t="s">
        <v>405</v>
      </c>
      <c r="O9" s="364"/>
      <c r="P9" s="364"/>
      <c r="Q9" s="364"/>
      <c r="R9" s="364"/>
      <c r="S9" s="364"/>
      <c r="T9" s="364"/>
      <c r="U9" s="38"/>
      <c r="W9" s="38"/>
      <c r="X9" s="364" t="s">
        <v>417</v>
      </c>
      <c r="Y9" s="364"/>
      <c r="Z9" s="364"/>
      <c r="AA9" s="364"/>
      <c r="AB9" s="364"/>
      <c r="AC9" s="364"/>
      <c r="AD9" s="364"/>
      <c r="AE9" s="38"/>
    </row>
    <row r="10" spans="2:31" s="33" customFormat="1" ht="17.399999999999999">
      <c r="B10" s="38"/>
      <c r="C10" s="38"/>
      <c r="D10" s="38"/>
      <c r="E10" s="116"/>
      <c r="F10" s="121"/>
      <c r="G10" s="38"/>
      <c r="H10" s="38"/>
      <c r="I10" s="38"/>
      <c r="J10" s="38"/>
      <c r="K10" s="38"/>
      <c r="M10" s="38"/>
      <c r="N10" s="38"/>
      <c r="O10" s="38"/>
      <c r="P10" s="38"/>
      <c r="Q10" s="116"/>
      <c r="R10" s="102"/>
      <c r="S10" s="38"/>
      <c r="T10" s="38"/>
      <c r="U10" s="38"/>
      <c r="W10" s="38"/>
      <c r="X10" s="38"/>
      <c r="Y10" s="38"/>
      <c r="Z10" s="38"/>
      <c r="AA10" s="116"/>
      <c r="AB10" s="38"/>
      <c r="AC10" s="38"/>
      <c r="AD10" s="38"/>
      <c r="AE10" s="38"/>
    </row>
    <row r="11" spans="2:31" s="33" customFormat="1" ht="54" customHeight="1">
      <c r="B11" s="38"/>
      <c r="C11" s="369" t="s">
        <v>404</v>
      </c>
      <c r="D11" s="365"/>
      <c r="E11" s="365"/>
      <c r="F11" s="365"/>
      <c r="G11" s="365"/>
      <c r="H11" s="365"/>
      <c r="I11" s="365"/>
      <c r="J11" s="365"/>
      <c r="K11" s="38"/>
      <c r="M11" s="38"/>
      <c r="N11" s="365" t="s">
        <v>408</v>
      </c>
      <c r="O11" s="365"/>
      <c r="P11" s="365"/>
      <c r="Q11" s="365"/>
      <c r="R11" s="365"/>
      <c r="S11" s="365"/>
      <c r="T11" s="365"/>
      <c r="U11" s="38"/>
      <c r="W11" s="38"/>
      <c r="X11" s="366" t="s">
        <v>423</v>
      </c>
      <c r="Y11" s="357"/>
      <c r="Z11" s="357"/>
      <c r="AA11" s="357"/>
      <c r="AB11" s="357"/>
      <c r="AC11" s="357"/>
      <c r="AD11" s="357"/>
      <c r="AE11" s="38"/>
    </row>
    <row r="12" spans="2:31" s="33" customFormat="1">
      <c r="B12" s="38"/>
      <c r="C12" s="38"/>
      <c r="D12" s="38"/>
      <c r="E12" s="38"/>
      <c r="F12" s="114"/>
      <c r="G12" s="38"/>
      <c r="H12" s="38"/>
      <c r="I12" s="38"/>
      <c r="J12" s="38"/>
      <c r="K12" s="38"/>
      <c r="M12" s="38"/>
      <c r="N12" s="38"/>
      <c r="O12" s="38"/>
      <c r="P12" s="38"/>
      <c r="Q12" s="114"/>
      <c r="R12" s="102"/>
      <c r="S12" s="38"/>
      <c r="T12" s="38"/>
      <c r="U12" s="38"/>
      <c r="W12" s="38"/>
      <c r="X12" s="38"/>
      <c r="Y12" s="38"/>
      <c r="Z12" s="38"/>
      <c r="AA12" s="114"/>
      <c r="AB12" s="38"/>
      <c r="AC12" s="38"/>
      <c r="AD12" s="38"/>
      <c r="AE12" s="38"/>
    </row>
    <row r="13" spans="2:31" s="33" customFormat="1">
      <c r="B13" s="38"/>
      <c r="C13" s="38"/>
      <c r="D13" s="48" t="s">
        <v>400</v>
      </c>
      <c r="E13" s="48" t="s">
        <v>14</v>
      </c>
      <c r="F13" s="48" t="s">
        <v>15</v>
      </c>
      <c r="G13" s="48"/>
      <c r="H13" s="48"/>
      <c r="I13" s="38"/>
      <c r="J13" s="38"/>
      <c r="K13" s="38"/>
      <c r="M13" s="38"/>
      <c r="N13" s="38"/>
      <c r="O13" s="38"/>
      <c r="P13" s="38"/>
      <c r="Q13" s="38"/>
      <c r="R13" s="102"/>
      <c r="S13" s="48"/>
      <c r="T13" s="38"/>
      <c r="U13" s="38"/>
      <c r="W13" s="38"/>
      <c r="X13" s="38"/>
      <c r="Y13" s="38"/>
      <c r="Z13" s="38"/>
      <c r="AA13" s="38"/>
      <c r="AB13" s="48"/>
      <c r="AC13" s="38"/>
      <c r="AD13" s="38"/>
      <c r="AE13" s="38"/>
    </row>
    <row r="14" spans="2:31" s="33" customFormat="1">
      <c r="B14" s="38"/>
      <c r="C14" s="48" t="s">
        <v>380</v>
      </c>
      <c r="D14" s="115">
        <f>'Chart table'!D12</f>
        <v>436.44045023255819</v>
      </c>
      <c r="E14" s="115">
        <f>'Chart table'!E12</f>
        <v>567.98987649267553</v>
      </c>
      <c r="F14" s="115">
        <f>'Chart table'!F12</f>
        <v>746.58998030974783</v>
      </c>
      <c r="G14" s="48" t="s">
        <v>401</v>
      </c>
      <c r="H14" s="115"/>
      <c r="I14" s="47"/>
      <c r="J14" s="47"/>
      <c r="K14" s="38"/>
      <c r="M14" s="38"/>
      <c r="N14" s="125"/>
      <c r="O14" s="125" t="s">
        <v>14</v>
      </c>
      <c r="P14" s="125" t="s">
        <v>15</v>
      </c>
      <c r="Q14" s="125"/>
      <c r="R14" s="102"/>
      <c r="S14" s="38"/>
      <c r="T14" s="38"/>
      <c r="U14" s="38"/>
      <c r="W14" s="38"/>
      <c r="X14" s="48" t="s">
        <v>418</v>
      </c>
      <c r="Y14" s="48" t="s">
        <v>14</v>
      </c>
      <c r="Z14" s="48" t="s">
        <v>15</v>
      </c>
      <c r="AA14" s="48"/>
      <c r="AB14" s="48"/>
      <c r="AC14" s="38"/>
      <c r="AD14" s="38"/>
      <c r="AE14" s="38"/>
    </row>
    <row r="15" spans="2:31" s="33" customFormat="1" ht="26.4">
      <c r="B15" s="38"/>
      <c r="C15" s="38"/>
      <c r="D15" s="47"/>
      <c r="E15" s="47"/>
      <c r="F15" s="47"/>
      <c r="G15" s="47"/>
      <c r="H15" s="47"/>
      <c r="I15" s="38"/>
      <c r="J15" s="38"/>
      <c r="K15" s="38"/>
      <c r="M15" s="38"/>
      <c r="N15" s="183" t="s">
        <v>409</v>
      </c>
      <c r="O15" s="356" t="s">
        <v>435</v>
      </c>
      <c r="P15" s="356" t="s">
        <v>435</v>
      </c>
      <c r="Q15" s="53"/>
      <c r="R15" s="102"/>
      <c r="S15" s="38"/>
      <c r="T15" s="38"/>
      <c r="U15" s="38"/>
      <c r="W15" s="38"/>
      <c r="X15" s="48" t="s">
        <v>9</v>
      </c>
      <c r="Y15" s="115">
        <f>(Calculator!AE33-Calculator!S33)/O16</f>
        <v>71.518085205143976</v>
      </c>
      <c r="Z15" s="115">
        <f>(Calculator!AQ33-Calculator!S33)/P16</f>
        <v>167.07322177626386</v>
      </c>
      <c r="AA15" s="48" t="s">
        <v>27</v>
      </c>
      <c r="AB15" s="48"/>
      <c r="AC15" s="38"/>
      <c r="AD15" s="38"/>
      <c r="AE15" s="38"/>
    </row>
    <row r="16" spans="2:31" s="33" customFormat="1">
      <c r="B16" s="38"/>
      <c r="C16" s="38" t="s">
        <v>398</v>
      </c>
      <c r="D16" s="38"/>
      <c r="E16" s="367" t="s">
        <v>43</v>
      </c>
      <c r="F16" s="367"/>
      <c r="G16" s="38"/>
      <c r="H16" s="38"/>
      <c r="I16" s="38"/>
      <c r="J16" s="38"/>
      <c r="K16" s="38"/>
      <c r="M16" s="38"/>
      <c r="N16" s="183" t="s">
        <v>406</v>
      </c>
      <c r="O16" s="187">
        <f>'Chart table'!E27</f>
        <v>1.2043333333333333</v>
      </c>
      <c r="P16" s="187">
        <f>'Chart table'!F27</f>
        <v>1.6176675645679999</v>
      </c>
      <c r="Q16" s="125" t="s">
        <v>407</v>
      </c>
      <c r="R16" s="102"/>
      <c r="S16" s="38"/>
      <c r="T16" s="38"/>
      <c r="U16" s="38"/>
      <c r="W16" s="38"/>
      <c r="X16" s="48" t="s">
        <v>41</v>
      </c>
      <c r="Y16" s="115">
        <f>Y15+(Calculator!AE44-Calculator!S44)/O16</f>
        <v>123.72585344944696</v>
      </c>
      <c r="Z16" s="115">
        <f>Z15+(Calculator!AQ44-Calculator!S44)/P16</f>
        <v>205.94125432678766</v>
      </c>
      <c r="AA16" s="48" t="s">
        <v>27</v>
      </c>
      <c r="AB16" s="48"/>
      <c r="AC16" s="38"/>
      <c r="AD16" s="38"/>
      <c r="AE16" s="38"/>
    </row>
    <row r="17" spans="1:31" s="33" customFormat="1">
      <c r="B17" s="38"/>
      <c r="C17" s="38" t="s">
        <v>399</v>
      </c>
      <c r="D17" s="38"/>
      <c r="E17" s="264">
        <f>Calculator!J47</f>
        <v>100</v>
      </c>
      <c r="F17" s="160" t="s">
        <v>27</v>
      </c>
      <c r="G17" s="38"/>
      <c r="H17" s="38"/>
      <c r="I17" s="50" t="s">
        <v>402</v>
      </c>
      <c r="J17" s="355" t="s">
        <v>436</v>
      </c>
      <c r="K17" s="38"/>
      <c r="M17" s="38"/>
      <c r="N17" s="183" t="s">
        <v>405</v>
      </c>
      <c r="O17" s="235">
        <f>SUM('Chart table'!E29:E30)</f>
        <v>123.72585344944696</v>
      </c>
      <c r="P17" s="235">
        <f>SUM('Chart table'!F29:F30)</f>
        <v>205.94125432678766</v>
      </c>
      <c r="Q17" s="125" t="s">
        <v>40</v>
      </c>
      <c r="R17" s="102"/>
      <c r="S17" s="38"/>
      <c r="T17" s="38"/>
      <c r="U17" s="38"/>
      <c r="W17" s="38"/>
      <c r="X17" s="48"/>
      <c r="Y17" s="48"/>
      <c r="Z17" s="48"/>
      <c r="AA17" s="38"/>
      <c r="AB17" s="48"/>
      <c r="AC17" s="38"/>
      <c r="AD17" s="38"/>
      <c r="AE17" s="38"/>
    </row>
    <row r="18" spans="1:31" s="33" customFormat="1" ht="39.6">
      <c r="B18" s="38"/>
      <c r="C18" s="38"/>
      <c r="D18" s="38"/>
      <c r="E18" s="38"/>
      <c r="F18" s="38"/>
      <c r="G18" s="38"/>
      <c r="H18" s="38"/>
      <c r="I18" s="38"/>
      <c r="J18" s="38"/>
      <c r="K18" s="38"/>
      <c r="M18" s="38"/>
      <c r="N18" s="38"/>
      <c r="O18" s="38"/>
      <c r="P18" s="38"/>
      <c r="Q18" s="38"/>
      <c r="R18" s="102"/>
      <c r="S18" s="38"/>
      <c r="T18" s="38"/>
      <c r="U18" s="38"/>
      <c r="W18" s="38"/>
      <c r="X18" s="164" t="s">
        <v>422</v>
      </c>
      <c r="Y18" s="48"/>
      <c r="Z18" s="48"/>
      <c r="AA18" s="38"/>
      <c r="AB18" s="48"/>
      <c r="AC18" s="38"/>
      <c r="AD18" s="38"/>
      <c r="AE18" s="38"/>
    </row>
    <row r="19" spans="1:31" s="33" customFormat="1">
      <c r="B19" s="38"/>
      <c r="C19" s="38"/>
      <c r="D19" s="38"/>
      <c r="E19" s="38"/>
      <c r="F19" s="38"/>
      <c r="G19" s="38"/>
      <c r="H19" s="38"/>
      <c r="I19" s="38"/>
      <c r="J19" s="38"/>
      <c r="K19" s="38"/>
      <c r="M19" s="38"/>
      <c r="N19" s="38"/>
      <c r="O19" s="38"/>
      <c r="P19" s="38"/>
      <c r="Q19" s="38"/>
      <c r="R19" s="102"/>
      <c r="S19" s="38"/>
      <c r="T19" s="38"/>
      <c r="U19" s="38"/>
      <c r="W19" s="38"/>
      <c r="X19" s="48" t="s">
        <v>9</v>
      </c>
      <c r="Y19" s="115">
        <f>(-1)*Y15*(SUM(Calculator!S50:S51)-SUM(Calculator!AE50:AE51))/Calculator!D50/O16</f>
        <v>59.542711697869947</v>
      </c>
      <c r="Z19" s="115">
        <f>(-1)*Z15*(SUM(Calculator!S50:S51)-SUM(Calculator!AQ50:AQ51))/Calculator!D50/P16</f>
        <v>143.32395661738826</v>
      </c>
      <c r="AA19" s="48" t="s">
        <v>419</v>
      </c>
      <c r="AB19" s="38"/>
      <c r="AC19" s="38"/>
      <c r="AD19" s="38"/>
      <c r="AE19" s="38"/>
    </row>
    <row r="20" spans="1:31" s="33" customFormat="1">
      <c r="A20" s="113"/>
      <c r="B20" s="118"/>
      <c r="C20" s="38"/>
      <c r="D20" s="38"/>
      <c r="E20" s="38"/>
      <c r="F20" s="38"/>
      <c r="G20" s="38"/>
      <c r="H20" s="38"/>
      <c r="I20" s="38"/>
      <c r="J20" s="38"/>
      <c r="K20" s="118"/>
      <c r="M20" s="38"/>
      <c r="N20" s="38"/>
      <c r="O20" s="38"/>
      <c r="P20" s="38"/>
      <c r="Q20" s="38"/>
      <c r="R20" s="102"/>
      <c r="S20" s="38"/>
      <c r="T20" s="38"/>
      <c r="U20" s="38"/>
      <c r="W20" s="118"/>
      <c r="X20" s="48" t="s">
        <v>420</v>
      </c>
      <c r="Y20" s="115">
        <f>(-1)*Y16*(SUM(Calculator!S50:S51)-SUM(Calculator!AE50:AE51))/Calculator!D50/O16</f>
        <v>103.00852994570182</v>
      </c>
      <c r="Z20" s="115">
        <f>(-1)*Z16*(SUM(Calculator!S50:S51)-SUM(Calculator!AQ50:AQ51))/Calculator!D50/P16</f>
        <v>176.66694331417042</v>
      </c>
      <c r="AA20" s="48" t="s">
        <v>419</v>
      </c>
      <c r="AB20" s="38"/>
      <c r="AC20" s="38"/>
      <c r="AD20" s="38"/>
      <c r="AE20" s="38"/>
    </row>
    <row r="21" spans="1:31" s="33" customFormat="1" ht="13.95" customHeight="1">
      <c r="A21" s="113"/>
      <c r="B21" s="118"/>
      <c r="C21" s="38"/>
      <c r="D21" s="38"/>
      <c r="E21" s="38"/>
      <c r="F21" s="38"/>
      <c r="G21" s="38"/>
      <c r="H21" s="38"/>
      <c r="I21" s="38"/>
      <c r="J21" s="38"/>
      <c r="K21" s="118"/>
      <c r="M21" s="38"/>
      <c r="N21" s="38"/>
      <c r="O21" s="38"/>
      <c r="P21" s="38"/>
      <c r="Q21" s="38"/>
      <c r="R21" s="102"/>
      <c r="S21" s="38"/>
      <c r="T21" s="38"/>
      <c r="U21" s="38"/>
      <c r="W21" s="118"/>
      <c r="X21" s="38"/>
      <c r="Y21" s="38"/>
      <c r="Z21" s="38"/>
      <c r="AA21" s="38"/>
      <c r="AB21" s="38"/>
      <c r="AC21" s="38"/>
      <c r="AD21" s="38"/>
      <c r="AE21" s="38"/>
    </row>
    <row r="22" spans="1:31" s="33" customFormat="1">
      <c r="A22" s="113"/>
      <c r="B22" s="118"/>
      <c r="C22" s="38"/>
      <c r="D22" s="38"/>
      <c r="E22" s="38"/>
      <c r="F22" s="38"/>
      <c r="G22" s="38"/>
      <c r="H22" s="38"/>
      <c r="I22" s="38"/>
      <c r="J22" s="38"/>
      <c r="K22" s="118"/>
      <c r="M22" s="38"/>
      <c r="N22" s="38"/>
      <c r="O22" s="38"/>
      <c r="P22" s="38"/>
      <c r="Q22" s="38"/>
      <c r="R22" s="102"/>
      <c r="S22" s="38"/>
      <c r="T22" s="38"/>
      <c r="U22" s="38"/>
      <c r="W22" s="118"/>
      <c r="X22" s="265" t="s">
        <v>421</v>
      </c>
      <c r="Y22" s="368" t="s">
        <v>14</v>
      </c>
      <c r="Z22" s="368"/>
      <c r="AA22" s="38"/>
      <c r="AB22" s="38"/>
      <c r="AC22" s="38"/>
      <c r="AD22" s="38"/>
      <c r="AE22" s="38"/>
    </row>
    <row r="23" spans="1:31" s="33" customFormat="1">
      <c r="A23" s="113"/>
      <c r="B23" s="118"/>
      <c r="C23" s="38"/>
      <c r="D23" s="38"/>
      <c r="E23" s="38"/>
      <c r="F23" s="38"/>
      <c r="G23" s="38"/>
      <c r="H23" s="38"/>
      <c r="I23" s="38"/>
      <c r="J23" s="38"/>
      <c r="K23" s="118"/>
      <c r="M23" s="38"/>
      <c r="N23" s="38"/>
      <c r="O23" s="38"/>
      <c r="P23" s="38"/>
      <c r="Q23" s="38"/>
      <c r="R23" s="102"/>
      <c r="S23" s="38"/>
      <c r="T23" s="38"/>
      <c r="U23" s="38"/>
      <c r="W23" s="118"/>
      <c r="X23" s="38"/>
      <c r="Y23" s="38"/>
      <c r="Z23" s="38"/>
      <c r="AA23" s="38"/>
      <c r="AB23" s="38"/>
      <c r="AC23" s="38"/>
      <c r="AD23" s="38"/>
      <c r="AE23" s="38"/>
    </row>
    <row r="24" spans="1:31" s="33" customFormat="1">
      <c r="A24" s="113"/>
      <c r="B24" s="118"/>
      <c r="C24" s="38"/>
      <c r="D24" s="38"/>
      <c r="E24" s="38"/>
      <c r="F24" s="38"/>
      <c r="G24" s="38"/>
      <c r="H24" s="38"/>
      <c r="I24" s="38"/>
      <c r="J24" s="38"/>
      <c r="K24" s="118"/>
      <c r="M24" s="38"/>
      <c r="N24" s="38"/>
      <c r="O24" s="38"/>
      <c r="P24" s="38"/>
      <c r="Q24" s="38"/>
      <c r="R24" s="102"/>
      <c r="S24" s="38"/>
      <c r="T24" s="38"/>
      <c r="U24" s="38"/>
      <c r="W24" s="118"/>
      <c r="X24" s="38"/>
      <c r="Y24" s="38"/>
      <c r="Z24" s="38"/>
      <c r="AA24" s="38"/>
      <c r="AB24" s="38"/>
      <c r="AC24" s="38"/>
      <c r="AD24" s="38"/>
      <c r="AE24" s="38"/>
    </row>
    <row r="25" spans="1:31" s="33" customFormat="1">
      <c r="A25" s="113"/>
      <c r="B25" s="118"/>
      <c r="C25" s="38"/>
      <c r="D25" s="38"/>
      <c r="E25" s="38"/>
      <c r="F25" s="38"/>
      <c r="G25" s="38"/>
      <c r="H25" s="38"/>
      <c r="I25" s="38"/>
      <c r="J25" s="38"/>
      <c r="K25" s="118"/>
      <c r="M25" s="38"/>
      <c r="N25" s="38"/>
      <c r="O25" s="38"/>
      <c r="P25" s="38"/>
      <c r="Q25" s="38"/>
      <c r="R25" s="102"/>
      <c r="S25" s="38"/>
      <c r="T25" s="38"/>
      <c r="U25" s="38"/>
      <c r="W25" s="118"/>
      <c r="X25" s="38"/>
      <c r="Y25" s="38"/>
      <c r="Z25" s="38"/>
      <c r="AA25" s="38"/>
      <c r="AB25" s="38"/>
      <c r="AC25" s="38"/>
      <c r="AD25" s="38"/>
      <c r="AE25" s="38"/>
    </row>
    <row r="26" spans="1:31" s="33" customFormat="1">
      <c r="A26" s="113"/>
      <c r="B26" s="118"/>
      <c r="C26" s="38"/>
      <c r="D26" s="38"/>
      <c r="E26" s="38"/>
      <c r="F26" s="38"/>
      <c r="G26" s="38"/>
      <c r="H26" s="38"/>
      <c r="I26" s="38"/>
      <c r="J26" s="38"/>
      <c r="K26" s="118"/>
      <c r="M26" s="38"/>
      <c r="N26" s="38"/>
      <c r="O26" s="38"/>
      <c r="P26" s="38"/>
      <c r="Q26" s="38"/>
      <c r="R26" s="102"/>
      <c r="S26" s="38"/>
      <c r="T26" s="38"/>
      <c r="U26" s="38"/>
      <c r="W26" s="118"/>
      <c r="X26" s="38"/>
      <c r="Y26" s="38"/>
      <c r="Z26" s="38"/>
      <c r="AA26" s="38"/>
      <c r="AB26" s="38"/>
      <c r="AC26" s="38"/>
      <c r="AD26" s="38"/>
      <c r="AE26" s="38"/>
    </row>
    <row r="27" spans="1:31" s="33" customFormat="1">
      <c r="A27" s="113"/>
      <c r="B27" s="118"/>
      <c r="C27" s="38"/>
      <c r="D27" s="38"/>
      <c r="E27" s="38"/>
      <c r="F27" s="38"/>
      <c r="G27" s="38"/>
      <c r="H27" s="38"/>
      <c r="I27" s="38"/>
      <c r="J27" s="38"/>
      <c r="K27" s="118"/>
      <c r="M27" s="38"/>
      <c r="N27" s="38"/>
      <c r="O27" s="38"/>
      <c r="P27" s="38"/>
      <c r="Q27" s="38"/>
      <c r="R27" s="102"/>
      <c r="S27" s="38"/>
      <c r="T27" s="38"/>
      <c r="U27" s="38"/>
      <c r="W27" s="118"/>
      <c r="X27" s="38"/>
      <c r="Y27" s="38"/>
      <c r="Z27" s="38"/>
      <c r="AA27" s="38"/>
      <c r="AB27" s="38"/>
      <c r="AC27" s="38"/>
      <c r="AD27" s="38"/>
      <c r="AE27" s="38"/>
    </row>
    <row r="28" spans="1:31" s="33" customFormat="1">
      <c r="A28" s="113"/>
      <c r="B28" s="118"/>
      <c r="C28" s="38"/>
      <c r="D28" s="38"/>
      <c r="E28" s="38"/>
      <c r="F28" s="38"/>
      <c r="G28" s="38"/>
      <c r="H28" s="38"/>
      <c r="I28" s="38"/>
      <c r="J28" s="38"/>
      <c r="K28" s="118"/>
      <c r="M28" s="38"/>
      <c r="N28" s="38"/>
      <c r="O28" s="38"/>
      <c r="P28" s="38"/>
      <c r="Q28" s="38"/>
      <c r="R28" s="102"/>
      <c r="S28" s="38"/>
      <c r="T28" s="38"/>
      <c r="U28" s="38"/>
      <c r="W28" s="118"/>
      <c r="X28" s="38"/>
      <c r="Y28" s="38"/>
      <c r="Z28" s="38"/>
      <c r="AA28" s="38"/>
      <c r="AB28" s="38"/>
      <c r="AC28" s="38"/>
      <c r="AD28" s="38"/>
      <c r="AE28" s="38"/>
    </row>
    <row r="29" spans="1:31" s="33" customFormat="1">
      <c r="A29" s="113"/>
      <c r="B29" s="118"/>
      <c r="C29" s="38"/>
      <c r="D29" s="38"/>
      <c r="E29" s="38"/>
      <c r="F29" s="38"/>
      <c r="G29" s="38"/>
      <c r="H29" s="38"/>
      <c r="I29" s="38"/>
      <c r="J29" s="38"/>
      <c r="K29" s="118"/>
      <c r="M29" s="38"/>
      <c r="N29" s="38"/>
      <c r="O29" s="38"/>
      <c r="P29" s="38"/>
      <c r="Q29" s="38"/>
      <c r="R29" s="102"/>
      <c r="S29" s="38"/>
      <c r="T29" s="38"/>
      <c r="U29" s="38"/>
      <c r="W29" s="118"/>
      <c r="X29" s="38"/>
      <c r="Y29" s="38"/>
      <c r="Z29" s="38"/>
      <c r="AA29" s="38"/>
      <c r="AB29" s="38"/>
      <c r="AC29" s="38"/>
      <c r="AD29" s="38"/>
      <c r="AE29" s="38"/>
    </row>
    <row r="30" spans="1:31" s="33" customFormat="1">
      <c r="A30" s="113"/>
      <c r="B30" s="118"/>
      <c r="C30" s="38"/>
      <c r="D30" s="38"/>
      <c r="E30" s="38"/>
      <c r="F30" s="38"/>
      <c r="G30" s="38"/>
      <c r="H30" s="38"/>
      <c r="I30" s="38"/>
      <c r="J30" s="38"/>
      <c r="K30" s="118"/>
      <c r="M30" s="38"/>
      <c r="N30" s="38"/>
      <c r="O30" s="38"/>
      <c r="P30" s="38"/>
      <c r="Q30" s="38"/>
      <c r="R30" s="102"/>
      <c r="S30" s="38"/>
      <c r="T30" s="38"/>
      <c r="U30" s="38"/>
      <c r="W30" s="118"/>
      <c r="X30" s="38"/>
      <c r="Y30" s="38"/>
      <c r="Z30" s="38"/>
      <c r="AA30" s="38"/>
      <c r="AB30" s="38"/>
      <c r="AC30" s="38"/>
      <c r="AD30" s="38"/>
      <c r="AE30" s="38"/>
    </row>
    <row r="31" spans="1:31" s="33" customFormat="1">
      <c r="B31" s="38"/>
      <c r="C31" s="38"/>
      <c r="D31" s="38"/>
      <c r="E31" s="38"/>
      <c r="F31" s="38"/>
      <c r="G31" s="38"/>
      <c r="H31" s="38"/>
      <c r="I31" s="38"/>
      <c r="J31" s="38"/>
      <c r="K31" s="38"/>
      <c r="M31" s="38"/>
      <c r="N31" s="38"/>
      <c r="O31" s="38"/>
      <c r="P31" s="38"/>
      <c r="Q31" s="38"/>
      <c r="R31" s="102"/>
      <c r="S31" s="38"/>
      <c r="T31" s="38"/>
      <c r="U31" s="38"/>
      <c r="W31" s="38"/>
      <c r="X31" s="38"/>
      <c r="Y31" s="38"/>
      <c r="Z31" s="38"/>
      <c r="AA31" s="38"/>
      <c r="AB31" s="38"/>
      <c r="AC31" s="38"/>
      <c r="AD31" s="38"/>
      <c r="AE31" s="38"/>
    </row>
    <row r="32" spans="1:31" s="33" customFormat="1">
      <c r="B32" s="38"/>
      <c r="C32" s="38"/>
      <c r="D32" s="38"/>
      <c r="E32" s="38"/>
      <c r="F32" s="38"/>
      <c r="G32" s="38"/>
      <c r="H32" s="38"/>
      <c r="I32" s="38"/>
      <c r="J32" s="38"/>
      <c r="K32" s="38"/>
      <c r="M32" s="38"/>
      <c r="N32" s="38"/>
      <c r="O32" s="38"/>
      <c r="P32" s="38"/>
      <c r="Q32" s="38"/>
      <c r="R32" s="102"/>
      <c r="S32" s="38"/>
      <c r="T32" s="38"/>
      <c r="U32" s="38"/>
      <c r="W32" s="38"/>
      <c r="X32" s="38"/>
      <c r="Y32" s="38"/>
      <c r="Z32" s="38"/>
      <c r="AA32" s="38"/>
      <c r="AB32" s="38"/>
      <c r="AC32" s="38"/>
      <c r="AD32" s="38"/>
      <c r="AE32" s="38"/>
    </row>
    <row r="33" spans="2:31" s="33" customFormat="1">
      <c r="B33" s="38"/>
      <c r="C33" s="38"/>
      <c r="D33" s="38"/>
      <c r="E33" s="38"/>
      <c r="F33" s="38"/>
      <c r="G33" s="38"/>
      <c r="H33" s="38"/>
      <c r="I33" s="38"/>
      <c r="J33" s="38"/>
      <c r="K33" s="38"/>
      <c r="M33" s="38"/>
      <c r="N33" s="38"/>
      <c r="O33" s="38"/>
      <c r="P33" s="38"/>
      <c r="Q33" s="38"/>
      <c r="R33" s="102"/>
      <c r="S33" s="38"/>
      <c r="T33" s="38"/>
      <c r="U33" s="38"/>
      <c r="W33" s="38"/>
      <c r="X33" s="38"/>
      <c r="Y33" s="38"/>
      <c r="Z33" s="38"/>
      <c r="AA33" s="38"/>
      <c r="AB33" s="38"/>
      <c r="AC33" s="38"/>
      <c r="AD33" s="38"/>
      <c r="AE33" s="38"/>
    </row>
    <row r="34" spans="2:31" s="33" customFormat="1">
      <c r="B34" s="38"/>
      <c r="C34" s="38"/>
      <c r="D34" s="38"/>
      <c r="E34" s="38"/>
      <c r="F34" s="38"/>
      <c r="G34" s="38"/>
      <c r="H34" s="38"/>
      <c r="I34" s="38"/>
      <c r="J34" s="38"/>
      <c r="K34" s="38"/>
      <c r="M34" s="38"/>
      <c r="N34" s="38"/>
      <c r="O34" s="38"/>
      <c r="P34" s="38"/>
      <c r="Q34" s="38"/>
      <c r="R34" s="102"/>
      <c r="S34" s="38"/>
      <c r="T34" s="38"/>
      <c r="U34" s="38"/>
      <c r="W34" s="38"/>
      <c r="X34" s="38"/>
      <c r="Y34" s="38"/>
      <c r="Z34" s="38"/>
      <c r="AA34" s="38"/>
      <c r="AB34" s="38"/>
      <c r="AC34" s="38"/>
      <c r="AD34" s="38"/>
      <c r="AE34" s="38"/>
    </row>
    <row r="35" spans="2:31" s="33" customFormat="1">
      <c r="B35" s="38"/>
      <c r="C35" s="38"/>
      <c r="D35" s="38"/>
      <c r="E35" s="38"/>
      <c r="F35" s="38"/>
      <c r="G35" s="38"/>
      <c r="H35" s="38"/>
      <c r="I35" s="38"/>
      <c r="J35" s="38"/>
      <c r="K35" s="38"/>
      <c r="M35" s="38"/>
      <c r="N35" s="38"/>
      <c r="O35" s="38"/>
      <c r="P35" s="38"/>
      <c r="Q35" s="38"/>
      <c r="R35" s="102"/>
      <c r="S35" s="38"/>
      <c r="T35" s="38"/>
      <c r="U35" s="38"/>
      <c r="W35" s="38"/>
      <c r="X35" s="38"/>
      <c r="Y35" s="38"/>
      <c r="Z35" s="38"/>
      <c r="AA35" s="38"/>
      <c r="AB35" s="38"/>
      <c r="AC35" s="38"/>
      <c r="AD35" s="38"/>
      <c r="AE35" s="38"/>
    </row>
    <row r="36" spans="2:31" s="33" customFormat="1">
      <c r="B36" s="38"/>
      <c r="C36" s="38"/>
      <c r="D36" s="38"/>
      <c r="E36" s="38"/>
      <c r="F36" s="38"/>
      <c r="G36" s="38"/>
      <c r="H36" s="38"/>
      <c r="I36" s="38"/>
      <c r="J36" s="38"/>
      <c r="K36" s="38"/>
      <c r="M36" s="38"/>
      <c r="N36" s="38"/>
      <c r="O36" s="38"/>
      <c r="P36" s="38"/>
      <c r="Q36" s="38"/>
      <c r="R36" s="102"/>
      <c r="S36" s="38"/>
      <c r="T36" s="38"/>
      <c r="U36" s="38"/>
      <c r="W36" s="38"/>
      <c r="X36" s="38"/>
      <c r="Y36" s="38"/>
      <c r="Z36" s="38"/>
      <c r="AA36" s="38"/>
      <c r="AB36" s="38"/>
      <c r="AC36" s="38"/>
      <c r="AD36" s="38"/>
      <c r="AE36" s="38"/>
    </row>
    <row r="37" spans="2:31" s="33" customFormat="1">
      <c r="B37" s="38"/>
      <c r="C37" s="38"/>
      <c r="D37" s="38"/>
      <c r="E37" s="38"/>
      <c r="F37" s="38"/>
      <c r="G37" s="38"/>
      <c r="H37" s="38"/>
      <c r="I37" s="38"/>
      <c r="J37" s="38"/>
      <c r="K37" s="38"/>
      <c r="M37" s="38"/>
      <c r="N37" s="38"/>
      <c r="O37" s="38"/>
      <c r="P37" s="38"/>
      <c r="Q37" s="38"/>
      <c r="R37" s="102"/>
      <c r="S37" s="38"/>
      <c r="T37" s="38"/>
      <c r="U37" s="38"/>
      <c r="W37" s="38"/>
      <c r="X37" s="38"/>
      <c r="Y37" s="38"/>
      <c r="Z37" s="38"/>
      <c r="AA37" s="38"/>
      <c r="AB37" s="38"/>
      <c r="AC37" s="38"/>
      <c r="AD37" s="38"/>
      <c r="AE37" s="38"/>
    </row>
    <row r="38" spans="2:31" s="33" customFormat="1">
      <c r="B38" s="38"/>
      <c r="C38" s="38"/>
      <c r="D38" s="38"/>
      <c r="E38" s="38"/>
      <c r="F38" s="38"/>
      <c r="G38" s="38"/>
      <c r="H38" s="38"/>
      <c r="I38" s="38"/>
      <c r="J38" s="38"/>
      <c r="K38" s="38"/>
      <c r="M38" s="38"/>
      <c r="N38" s="38"/>
      <c r="O38" s="38"/>
      <c r="P38" s="38"/>
      <c r="Q38" s="38"/>
      <c r="R38" s="102"/>
      <c r="S38" s="38"/>
      <c r="T38" s="38"/>
      <c r="U38" s="38"/>
      <c r="W38" s="38"/>
      <c r="X38" s="38"/>
      <c r="Y38" s="38"/>
      <c r="Z38" s="38"/>
      <c r="AA38" s="38"/>
      <c r="AB38" s="38"/>
      <c r="AC38" s="38"/>
      <c r="AD38" s="38"/>
      <c r="AE38" s="38"/>
    </row>
    <row r="39" spans="2:31" s="33" customFormat="1">
      <c r="B39" s="38"/>
      <c r="C39" s="38"/>
      <c r="D39" s="38"/>
      <c r="E39" s="38"/>
      <c r="F39" s="38"/>
      <c r="G39" s="38"/>
      <c r="H39" s="38"/>
      <c r="I39" s="38"/>
      <c r="J39" s="38"/>
      <c r="K39" s="38"/>
      <c r="M39" s="38"/>
      <c r="N39" s="38"/>
      <c r="O39" s="38"/>
      <c r="P39" s="38"/>
      <c r="Q39" s="38"/>
      <c r="R39" s="102"/>
      <c r="S39" s="38"/>
      <c r="T39" s="38"/>
      <c r="U39" s="38"/>
      <c r="W39" s="38"/>
      <c r="X39" s="38"/>
      <c r="Y39" s="38"/>
      <c r="Z39" s="38"/>
      <c r="AA39" s="38"/>
      <c r="AB39" s="38"/>
      <c r="AC39" s="38"/>
      <c r="AD39" s="38"/>
      <c r="AE39" s="38"/>
    </row>
    <row r="40" spans="2:31" s="33" customFormat="1">
      <c r="R40" s="325"/>
      <c r="W40" s="38"/>
      <c r="X40" s="38"/>
      <c r="Y40" s="38"/>
      <c r="Z40" s="38"/>
      <c r="AA40" s="38"/>
      <c r="AB40" s="38"/>
      <c r="AC40" s="38"/>
      <c r="AD40" s="38"/>
      <c r="AE40" s="38"/>
    </row>
    <row r="41" spans="2:31" s="33" customFormat="1">
      <c r="R41" s="325"/>
      <c r="W41" s="38"/>
      <c r="X41" s="38"/>
      <c r="Y41" s="38"/>
      <c r="Z41" s="38"/>
      <c r="AA41" s="38"/>
      <c r="AB41" s="38"/>
      <c r="AC41" s="38"/>
      <c r="AD41" s="38"/>
      <c r="AE41" s="38"/>
    </row>
    <row r="42" spans="2:31" s="33" customFormat="1">
      <c r="R42" s="325"/>
      <c r="W42" s="38"/>
      <c r="X42" s="38"/>
      <c r="Y42" s="38"/>
      <c r="Z42" s="38"/>
      <c r="AA42" s="38"/>
      <c r="AB42" s="38"/>
      <c r="AC42" s="38"/>
      <c r="AD42" s="38"/>
      <c r="AE42" s="38"/>
    </row>
    <row r="43" spans="2:31" s="33" customFormat="1">
      <c r="R43" s="325"/>
      <c r="W43" s="38"/>
      <c r="X43" s="38"/>
      <c r="Y43" s="38"/>
      <c r="Z43" s="38"/>
      <c r="AA43" s="38"/>
      <c r="AB43" s="38"/>
      <c r="AC43" s="38"/>
      <c r="AD43" s="38"/>
      <c r="AE43" s="38"/>
    </row>
    <row r="44" spans="2:31" s="33" customFormat="1">
      <c r="B44" s="38"/>
      <c r="C44" s="38"/>
      <c r="D44" s="38"/>
      <c r="E44" s="38"/>
      <c r="F44" s="38"/>
      <c r="G44" s="38"/>
      <c r="H44" s="38"/>
      <c r="I44" s="38"/>
      <c r="J44" s="38"/>
      <c r="K44" s="38"/>
      <c r="M44" s="38"/>
      <c r="N44" s="38"/>
      <c r="O44" s="38"/>
      <c r="P44" s="38"/>
      <c r="Q44" s="38"/>
      <c r="R44" s="102"/>
      <c r="S44" s="38"/>
      <c r="T44" s="38"/>
      <c r="U44" s="38"/>
      <c r="W44" s="38"/>
      <c r="X44" s="38"/>
      <c r="Y44" s="38"/>
      <c r="Z44" s="38"/>
      <c r="AA44" s="38"/>
      <c r="AB44" s="38"/>
      <c r="AC44" s="38"/>
      <c r="AD44" s="38"/>
      <c r="AE44" s="38"/>
    </row>
    <row r="45" spans="2:31" ht="17.399999999999999">
      <c r="B45" s="38"/>
      <c r="C45" s="360" t="s">
        <v>410</v>
      </c>
      <c r="D45" s="360"/>
      <c r="E45" s="360"/>
      <c r="F45" s="360"/>
      <c r="G45" s="360"/>
      <c r="H45" s="360"/>
      <c r="I45" s="360"/>
      <c r="J45" s="360"/>
      <c r="K45" s="38"/>
      <c r="M45" s="22"/>
      <c r="N45" s="364" t="s">
        <v>413</v>
      </c>
      <c r="O45" s="364"/>
      <c r="P45" s="364"/>
      <c r="Q45" s="364"/>
      <c r="R45" s="364"/>
      <c r="S45" s="364"/>
      <c r="T45" s="364"/>
      <c r="U45" s="38"/>
      <c r="W45" s="38"/>
      <c r="X45" s="38"/>
      <c r="Y45" s="38"/>
      <c r="Z45" s="38"/>
      <c r="AA45" s="38"/>
      <c r="AB45" s="38"/>
      <c r="AC45" s="38"/>
      <c r="AD45" s="38"/>
      <c r="AE45" s="22"/>
    </row>
    <row r="46" spans="2:31" ht="17.399999999999999">
      <c r="B46" s="38"/>
      <c r="C46" s="121"/>
      <c r="D46" s="38"/>
      <c r="E46" s="122"/>
      <c r="F46" s="38"/>
      <c r="G46" s="38"/>
      <c r="H46" s="38"/>
      <c r="I46" s="38"/>
      <c r="J46" s="38"/>
      <c r="K46" s="38"/>
      <c r="M46" s="22"/>
      <c r="N46" s="48"/>
      <c r="O46" s="38"/>
      <c r="P46" s="38"/>
      <c r="Q46" s="38"/>
      <c r="R46" s="102"/>
      <c r="S46" s="38"/>
      <c r="T46" s="38"/>
      <c r="U46" s="38"/>
    </row>
    <row r="47" spans="2:31" ht="41.7" customHeight="1">
      <c r="B47" s="38"/>
      <c r="C47" s="366" t="s">
        <v>411</v>
      </c>
      <c r="D47" s="366"/>
      <c r="E47" s="366"/>
      <c r="F47" s="366"/>
      <c r="G47" s="366"/>
      <c r="H47" s="366"/>
      <c r="I47" s="366"/>
      <c r="J47" s="366"/>
      <c r="K47" s="38"/>
      <c r="M47" s="22"/>
      <c r="N47" s="357" t="s">
        <v>412</v>
      </c>
      <c r="O47" s="357"/>
      <c r="P47" s="357"/>
      <c r="Q47" s="357"/>
      <c r="R47" s="357"/>
      <c r="S47" s="357"/>
      <c r="T47" s="357"/>
      <c r="U47" s="38"/>
    </row>
    <row r="48" spans="2:31">
      <c r="B48" s="38"/>
      <c r="C48" s="38"/>
      <c r="D48" s="47"/>
      <c r="E48" s="47"/>
      <c r="F48" s="47"/>
      <c r="G48" s="38"/>
      <c r="H48" s="38"/>
      <c r="I48" s="38"/>
      <c r="J48" s="38"/>
      <c r="K48" s="38"/>
      <c r="M48" s="22"/>
      <c r="N48" s="38"/>
      <c r="O48" s="38"/>
      <c r="P48" s="38"/>
      <c r="Q48" s="114"/>
      <c r="R48" s="102"/>
      <c r="S48" s="38"/>
      <c r="T48" s="38"/>
      <c r="U48" s="38"/>
    </row>
    <row r="49" spans="2:22" ht="39.6">
      <c r="B49" s="38"/>
      <c r="C49" s="38"/>
      <c r="D49" s="47"/>
      <c r="E49" s="47"/>
      <c r="F49" s="47"/>
      <c r="G49" s="38"/>
      <c r="H49" s="38"/>
      <c r="I49" s="38"/>
      <c r="J49" s="38"/>
      <c r="K49" s="38"/>
      <c r="M49" s="22"/>
      <c r="N49" s="38"/>
      <c r="O49" s="38"/>
      <c r="P49" s="38" t="s">
        <v>414</v>
      </c>
      <c r="Q49" s="102" t="s">
        <v>242</v>
      </c>
      <c r="R49" s="102" t="s">
        <v>416</v>
      </c>
      <c r="S49" s="102" t="s">
        <v>415</v>
      </c>
      <c r="T49" s="38"/>
      <c r="U49" s="38"/>
      <c r="V49" s="37"/>
    </row>
    <row r="50" spans="2:22">
      <c r="B50" s="38"/>
      <c r="C50" s="38"/>
      <c r="D50" s="38"/>
      <c r="E50" s="38"/>
      <c r="F50" s="38"/>
      <c r="G50" s="38"/>
      <c r="H50" s="38"/>
      <c r="I50" s="38"/>
      <c r="J50" s="38"/>
      <c r="K50" s="38"/>
      <c r="M50" s="22"/>
      <c r="N50" s="117" t="s">
        <v>35</v>
      </c>
      <c r="O50" s="103" t="str">
        <f>VLOOKUP(N50,Calculator!$C$10:$E$26,3,FALSE)</f>
        <v>€/t</v>
      </c>
      <c r="P50" s="49">
        <f>VLOOKUP(N50,Calculator!$C$10:$E$26,2,FALSE)</f>
        <v>154</v>
      </c>
      <c r="Q50" s="308" t="str">
        <f>IF(ISBLANK(VLOOKUP(N50,Calculator!$C$10:$F$26,4,FALSE)),"",VLOOKUP(N50,Calculator!$C$10:$F$26,4,FALSE))</f>
        <v/>
      </c>
      <c r="R50" s="326"/>
      <c r="S50" s="38">
        <f>VLOOKUP(N50,Calculator!$C$10:$J$26,7,FALSE)</f>
        <v>0</v>
      </c>
      <c r="T50" s="38"/>
      <c r="U50" s="38"/>
    </row>
    <row r="51" spans="2:22">
      <c r="B51" s="38"/>
      <c r="C51" s="38"/>
      <c r="D51" s="38"/>
      <c r="E51" s="38"/>
      <c r="F51" s="38"/>
      <c r="G51" s="38"/>
      <c r="H51" s="38"/>
      <c r="I51" s="38"/>
      <c r="J51" s="38"/>
      <c r="K51" s="38"/>
      <c r="M51" s="22"/>
      <c r="N51" s="117" t="s">
        <v>214</v>
      </c>
      <c r="O51" s="103" t="str">
        <f>VLOOKUP(N51,Calculator!$C$10:$E$26,3,FALSE)</f>
        <v>€/t</v>
      </c>
      <c r="P51" s="49">
        <f>VLOOKUP(N51,Calculator!$C$10:$E$26,2,FALSE)</f>
        <v>114</v>
      </c>
      <c r="Q51" s="308" t="str">
        <f>IF(ISBLANK(VLOOKUP(N51,Calculator!$C$10:$F$26,4,FALSE)),"",VLOOKUP(N51,Calculator!$C$10:$F$26,4,FALSE))</f>
        <v/>
      </c>
      <c r="R51" s="326"/>
      <c r="S51" s="38">
        <f>VLOOKUP(N51,Calculator!$C$10:$J$26,7,FALSE)</f>
        <v>0</v>
      </c>
      <c r="T51" s="38"/>
      <c r="U51" s="38"/>
    </row>
    <row r="52" spans="2:22">
      <c r="B52" s="38"/>
      <c r="C52" s="38"/>
      <c r="D52" s="38"/>
      <c r="E52" s="38" t="s">
        <v>24</v>
      </c>
      <c r="F52" s="38" t="s">
        <v>25</v>
      </c>
      <c r="G52" s="38"/>
      <c r="H52" s="38" t="s">
        <v>26</v>
      </c>
      <c r="I52" s="38"/>
      <c r="J52" s="38"/>
      <c r="K52" s="38"/>
      <c r="M52" s="22"/>
      <c r="N52" s="117" t="s">
        <v>212</v>
      </c>
      <c r="O52" s="103" t="str">
        <f>VLOOKUP(N52,Calculator!$C$10:$E$26,3,FALSE)</f>
        <v>€/MWh</v>
      </c>
      <c r="P52" s="49">
        <f>VLOOKUP(N52,Calculator!$C$10:$E$26,2,FALSE)</f>
        <v>139.59390862944164</v>
      </c>
      <c r="Q52" s="308" t="str">
        <f>IF(ISBLANK(VLOOKUP(N52,Calculator!$C$10:$F$26,4,FALSE)),"",VLOOKUP(N52,Calculator!$C$10:$F$26,4,FALSE))</f>
        <v/>
      </c>
      <c r="R52" s="326"/>
      <c r="S52" s="38">
        <f>VLOOKUP(N52,Calculator!$C$10:$J$26,7,FALSE)</f>
        <v>0</v>
      </c>
      <c r="T52" s="38"/>
      <c r="U52" s="38"/>
    </row>
    <row r="53" spans="2:22">
      <c r="B53" s="38"/>
      <c r="C53" s="38"/>
      <c r="D53" s="38"/>
      <c r="E53" s="38" t="s">
        <v>0</v>
      </c>
      <c r="F53" s="38" t="e">
        <f>Calculator!#REF!</f>
        <v>#REF!</v>
      </c>
      <c r="G53" s="38" t="s">
        <v>3</v>
      </c>
      <c r="H53" s="38">
        <v>30</v>
      </c>
      <c r="I53" s="38"/>
      <c r="J53" s="38"/>
      <c r="K53" s="38"/>
      <c r="M53" s="22"/>
      <c r="N53" s="117" t="s">
        <v>210</v>
      </c>
      <c r="O53" s="103" t="str">
        <f>VLOOKUP(N53,Calculator!$C$10:$E$26,3,FALSE)</f>
        <v>€/MWh</v>
      </c>
      <c r="P53" s="49">
        <f>VLOOKUP(N53,Calculator!$C$10:$E$26,2,FALSE)</f>
        <v>35</v>
      </c>
      <c r="Q53" s="308" t="str">
        <f>IF(ISBLANK(VLOOKUP(N53,Calculator!$C$10:$F$26,4,FALSE)),"",VLOOKUP(N53,Calculator!$C$10:$F$26,4,FALSE))</f>
        <v/>
      </c>
      <c r="R53" s="326"/>
      <c r="S53" s="38">
        <f>VLOOKUP(N53,Calculator!$C$10:$J$26,7,FALSE)</f>
        <v>0</v>
      </c>
      <c r="T53" s="38"/>
      <c r="U53" s="38"/>
    </row>
    <row r="54" spans="2:22">
      <c r="B54" s="38"/>
      <c r="C54" s="38"/>
      <c r="D54" s="38"/>
      <c r="E54" s="38"/>
      <c r="F54" s="38"/>
      <c r="G54" s="38"/>
      <c r="H54" s="38"/>
      <c r="I54" s="38"/>
      <c r="J54" s="38"/>
      <c r="K54" s="38"/>
      <c r="M54" s="22"/>
      <c r="N54" s="117" t="s">
        <v>211</v>
      </c>
      <c r="O54" s="103" t="str">
        <f>VLOOKUP(N54,Calculator!$C$10:$E$26,3,FALSE)</f>
        <v>€/MWh</v>
      </c>
      <c r="P54" s="49">
        <f>VLOOKUP(N54,Calculator!$C$10:$E$26,2,FALSE)</f>
        <v>60</v>
      </c>
      <c r="Q54" s="308" t="str">
        <f>IF(ISBLANK(VLOOKUP(N54,Calculator!$C$10:$F$26,4,FALSE)),"",VLOOKUP(N54,Calculator!$C$10:$F$26,4,FALSE))</f>
        <v/>
      </c>
      <c r="R54" s="326"/>
      <c r="S54" s="38">
        <f>VLOOKUP(N54,Calculator!$C$10:$J$26,7,FALSE)</f>
        <v>0</v>
      </c>
      <c r="T54" s="38"/>
      <c r="U54" s="38"/>
    </row>
    <row r="55" spans="2:22">
      <c r="B55" s="118"/>
      <c r="C55" s="38"/>
      <c r="D55" s="38"/>
      <c r="E55" s="38"/>
      <c r="F55" s="38"/>
      <c r="G55" s="38"/>
      <c r="H55" s="38"/>
      <c r="I55" s="38"/>
      <c r="J55" s="38"/>
      <c r="K55" s="118"/>
      <c r="M55" s="22"/>
      <c r="N55" s="38"/>
      <c r="O55" s="38"/>
      <c r="P55" s="38"/>
      <c r="Q55" s="38"/>
      <c r="R55" s="102"/>
      <c r="S55" s="38"/>
      <c r="T55" s="38"/>
      <c r="U55" s="38"/>
    </row>
    <row r="56" spans="2:22">
      <c r="B56" s="118"/>
      <c r="C56" s="38"/>
      <c r="D56" s="38"/>
      <c r="E56" s="38"/>
      <c r="F56" s="38"/>
      <c r="G56" s="38"/>
      <c r="H56" s="38"/>
      <c r="I56" s="38"/>
      <c r="J56" s="38"/>
      <c r="K56" s="118"/>
      <c r="M56" s="22"/>
      <c r="N56" s="38"/>
      <c r="O56" s="38"/>
      <c r="P56" s="38"/>
      <c r="Q56" s="38"/>
      <c r="R56" s="102"/>
      <c r="S56" s="38"/>
      <c r="T56" s="38"/>
      <c r="U56" s="38"/>
    </row>
    <row r="57" spans="2:22">
      <c r="B57" s="118"/>
      <c r="C57" s="38"/>
      <c r="D57" s="38"/>
      <c r="E57" s="38"/>
      <c r="F57" s="38"/>
      <c r="G57" s="38"/>
      <c r="H57" s="38"/>
      <c r="I57" s="38"/>
      <c r="J57" s="38"/>
      <c r="K57" s="118"/>
      <c r="M57" s="22"/>
      <c r="N57" s="38"/>
      <c r="O57" s="38"/>
      <c r="P57" s="38"/>
      <c r="Q57" s="38"/>
      <c r="R57" s="102"/>
      <c r="S57" s="38"/>
      <c r="T57" s="38"/>
      <c r="U57" s="38"/>
    </row>
    <row r="58" spans="2:22">
      <c r="B58" s="118"/>
      <c r="C58" s="38"/>
      <c r="D58" s="38"/>
      <c r="E58" s="38"/>
      <c r="F58" s="38"/>
      <c r="G58" s="38"/>
      <c r="H58" s="38"/>
      <c r="I58" s="38"/>
      <c r="J58" s="38"/>
      <c r="K58" s="118"/>
      <c r="M58" s="22"/>
      <c r="N58" s="38"/>
      <c r="O58" s="38"/>
      <c r="P58" s="38"/>
      <c r="Q58" s="38"/>
      <c r="R58" s="102"/>
      <c r="S58" s="38"/>
      <c r="T58" s="38"/>
      <c r="U58" s="38"/>
    </row>
    <row r="59" spans="2:22">
      <c r="B59" s="118"/>
      <c r="C59" s="38"/>
      <c r="D59" s="38"/>
      <c r="E59" s="38"/>
      <c r="F59" s="38"/>
      <c r="G59" s="38"/>
      <c r="H59" s="38"/>
      <c r="I59" s="38"/>
      <c r="J59" s="38"/>
      <c r="K59" s="118"/>
      <c r="M59" s="22"/>
      <c r="N59" s="38"/>
      <c r="O59" s="38"/>
      <c r="P59" s="38"/>
      <c r="Q59" s="38"/>
      <c r="R59" s="102"/>
      <c r="S59" s="38"/>
      <c r="T59" s="38"/>
      <c r="U59" s="38"/>
    </row>
    <row r="60" spans="2:22">
      <c r="B60" s="118"/>
      <c r="C60" s="38"/>
      <c r="D60" s="38"/>
      <c r="E60" s="38"/>
      <c r="F60" s="38"/>
      <c r="G60" s="38"/>
      <c r="H60" s="38"/>
      <c r="I60" s="38"/>
      <c r="J60" s="38"/>
      <c r="K60" s="118"/>
      <c r="M60" s="22"/>
      <c r="N60" s="38"/>
      <c r="O60" s="38"/>
      <c r="P60" s="38"/>
      <c r="Q60" s="38"/>
      <c r="R60" s="102"/>
      <c r="S60" s="38"/>
      <c r="T60" s="38"/>
      <c r="U60" s="38"/>
    </row>
    <row r="61" spans="2:22">
      <c r="B61" s="118"/>
      <c r="C61" s="38"/>
      <c r="D61" s="38"/>
      <c r="E61" s="38"/>
      <c r="F61" s="38"/>
      <c r="G61" s="38"/>
      <c r="H61" s="38"/>
      <c r="I61" s="38"/>
      <c r="J61" s="38"/>
      <c r="K61" s="118"/>
      <c r="M61" s="22"/>
      <c r="N61" s="38"/>
      <c r="O61" s="38"/>
      <c r="P61" s="38"/>
      <c r="Q61" s="38"/>
      <c r="R61" s="102"/>
      <c r="S61" s="38"/>
      <c r="T61" s="38"/>
      <c r="U61" s="38"/>
    </row>
    <row r="62" spans="2:22">
      <c r="B62" s="118"/>
      <c r="C62" s="38"/>
      <c r="D62" s="38"/>
      <c r="E62" s="38"/>
      <c r="F62" s="38"/>
      <c r="G62" s="38"/>
      <c r="H62" s="38"/>
      <c r="I62" s="38"/>
      <c r="J62" s="38"/>
      <c r="K62" s="118"/>
      <c r="M62" s="22"/>
      <c r="N62" s="38"/>
      <c r="O62" s="38"/>
      <c r="P62" s="38"/>
      <c r="Q62" s="38"/>
      <c r="R62" s="102"/>
      <c r="S62" s="38"/>
      <c r="T62" s="38"/>
      <c r="U62" s="38"/>
    </row>
    <row r="63" spans="2:22">
      <c r="B63" s="118"/>
      <c r="C63" s="38"/>
      <c r="D63" s="38"/>
      <c r="E63" s="38"/>
      <c r="F63" s="38"/>
      <c r="G63" s="38"/>
      <c r="H63" s="38"/>
      <c r="I63" s="38"/>
      <c r="J63" s="38"/>
      <c r="K63" s="118"/>
      <c r="M63" s="22"/>
      <c r="N63" s="38"/>
      <c r="O63" s="38"/>
      <c r="P63" s="38"/>
      <c r="Q63" s="38"/>
      <c r="R63" s="102"/>
      <c r="S63" s="38"/>
      <c r="T63" s="38"/>
      <c r="U63" s="38"/>
    </row>
    <row r="64" spans="2:22">
      <c r="B64" s="118"/>
      <c r="C64" s="38"/>
      <c r="D64" s="38"/>
      <c r="E64" s="38"/>
      <c r="F64" s="38"/>
      <c r="G64" s="38"/>
      <c r="H64" s="38"/>
      <c r="I64" s="38"/>
      <c r="J64" s="38"/>
      <c r="K64" s="118"/>
      <c r="M64" s="22"/>
      <c r="N64" s="38"/>
      <c r="O64" s="38"/>
      <c r="P64" s="38"/>
      <c r="Q64" s="38"/>
      <c r="R64" s="102"/>
      <c r="S64" s="38"/>
      <c r="T64" s="38"/>
      <c r="U64" s="38"/>
    </row>
    <row r="65" spans="2:21">
      <c r="B65" s="118"/>
      <c r="C65" s="38"/>
      <c r="D65" s="38"/>
      <c r="E65" s="38"/>
      <c r="F65" s="38"/>
      <c r="G65" s="38"/>
      <c r="H65" s="38"/>
      <c r="I65" s="38"/>
      <c r="J65" s="38"/>
      <c r="K65" s="118"/>
      <c r="M65" s="22"/>
      <c r="N65" s="38"/>
      <c r="O65" s="38"/>
      <c r="P65" s="38"/>
      <c r="Q65" s="38"/>
      <c r="R65" s="102"/>
      <c r="S65" s="38"/>
      <c r="T65" s="38"/>
      <c r="U65" s="38"/>
    </row>
    <row r="66" spans="2:21">
      <c r="B66" s="38"/>
      <c r="C66" s="38"/>
      <c r="D66" s="38"/>
      <c r="E66" s="38"/>
      <c r="F66" s="38"/>
      <c r="G66" s="38"/>
      <c r="H66" s="38"/>
      <c r="I66" s="38"/>
      <c r="J66" s="38"/>
      <c r="K66" s="38"/>
      <c r="M66" s="22"/>
      <c r="N66" s="38"/>
      <c r="O66" s="38"/>
      <c r="P66" s="38"/>
      <c r="Q66" s="38"/>
      <c r="R66" s="102"/>
      <c r="S66" s="38"/>
      <c r="T66" s="38"/>
      <c r="U66" s="38"/>
    </row>
    <row r="67" spans="2:21">
      <c r="B67" s="38"/>
      <c r="C67" s="38"/>
      <c r="D67" s="38"/>
      <c r="E67" s="38"/>
      <c r="F67" s="38"/>
      <c r="G67" s="38"/>
      <c r="H67" s="38"/>
      <c r="I67" s="38"/>
      <c r="J67" s="38"/>
      <c r="K67" s="38"/>
      <c r="M67" s="22"/>
      <c r="N67" s="38"/>
      <c r="O67" s="38"/>
      <c r="P67" s="38"/>
      <c r="Q67" s="38"/>
      <c r="R67" s="102"/>
      <c r="S67" s="38"/>
      <c r="T67" s="38"/>
      <c r="U67" s="38"/>
    </row>
    <row r="68" spans="2:21">
      <c r="B68" s="38"/>
      <c r="C68" s="38"/>
      <c r="D68" s="38"/>
      <c r="E68" s="38"/>
      <c r="F68" s="38"/>
      <c r="G68" s="38"/>
      <c r="H68" s="38"/>
      <c r="I68" s="38"/>
      <c r="J68" s="38"/>
      <c r="K68" s="38"/>
      <c r="M68" s="22"/>
      <c r="N68" s="38"/>
      <c r="O68" s="38"/>
      <c r="P68" s="38"/>
      <c r="Q68" s="38"/>
      <c r="R68" s="102"/>
      <c r="S68" s="38"/>
      <c r="T68" s="38"/>
      <c r="U68" s="38"/>
    </row>
    <row r="69" spans="2:21">
      <c r="B69" s="38"/>
      <c r="C69" s="38"/>
      <c r="D69" s="38"/>
      <c r="E69" s="38"/>
      <c r="F69" s="38"/>
      <c r="G69" s="38"/>
      <c r="H69" s="38"/>
      <c r="I69" s="38"/>
      <c r="J69" s="38"/>
      <c r="K69" s="38"/>
      <c r="M69" s="22"/>
      <c r="N69" s="38"/>
      <c r="O69" s="38"/>
      <c r="P69" s="38"/>
      <c r="Q69" s="38"/>
      <c r="R69" s="102"/>
      <c r="S69" s="38"/>
      <c r="T69" s="38"/>
      <c r="U69" s="38"/>
    </row>
    <row r="70" spans="2:21">
      <c r="B70" s="38"/>
      <c r="C70" s="38"/>
      <c r="D70" s="38"/>
      <c r="E70" s="38"/>
      <c r="F70" s="38"/>
      <c r="G70" s="38"/>
      <c r="H70" s="38"/>
      <c r="I70" s="38"/>
      <c r="J70" s="38"/>
      <c r="K70" s="38"/>
      <c r="M70" s="22"/>
      <c r="N70" s="38"/>
      <c r="O70" s="38"/>
      <c r="P70" s="38"/>
      <c r="Q70" s="38"/>
      <c r="R70" s="102"/>
      <c r="S70" s="38"/>
      <c r="T70" s="38"/>
      <c r="U70" s="38"/>
    </row>
    <row r="71" spans="2:21">
      <c r="B71" s="38"/>
      <c r="C71" s="38"/>
      <c r="D71" s="38"/>
      <c r="E71" s="38"/>
      <c r="F71" s="38"/>
      <c r="G71" s="38"/>
      <c r="H71" s="38"/>
      <c r="I71" s="38"/>
      <c r="J71" s="38"/>
      <c r="K71" s="38"/>
      <c r="M71" s="22"/>
      <c r="N71" s="38"/>
      <c r="O71" s="38"/>
      <c r="P71" s="38"/>
      <c r="Q71" s="38"/>
      <c r="R71" s="102"/>
      <c r="S71" s="38"/>
      <c r="T71" s="38"/>
      <c r="U71" s="38"/>
    </row>
    <row r="72" spans="2:21">
      <c r="B72" s="38"/>
      <c r="C72" s="38"/>
      <c r="D72" s="38"/>
      <c r="E72" s="38"/>
      <c r="F72" s="38"/>
      <c r="G72" s="38"/>
      <c r="H72" s="38"/>
      <c r="I72" s="38"/>
      <c r="J72" s="38"/>
      <c r="K72" s="38"/>
      <c r="M72" s="22"/>
      <c r="N72" s="38"/>
      <c r="O72" s="47"/>
      <c r="P72" s="47"/>
      <c r="Q72" s="38"/>
      <c r="R72" s="102"/>
      <c r="S72" s="38"/>
      <c r="T72" s="38"/>
      <c r="U72" s="38"/>
    </row>
    <row r="73" spans="2:21">
      <c r="B73" s="38"/>
      <c r="C73" s="38"/>
      <c r="D73" s="38"/>
      <c r="E73" s="38"/>
      <c r="F73" s="38"/>
      <c r="G73" s="38"/>
      <c r="H73" s="38"/>
      <c r="I73" s="38"/>
      <c r="J73" s="38"/>
      <c r="K73" s="38"/>
      <c r="M73" s="22"/>
      <c r="N73" s="38"/>
      <c r="O73" s="47"/>
      <c r="P73" s="47"/>
      <c r="Q73" s="38"/>
      <c r="R73" s="102"/>
      <c r="S73" s="38"/>
      <c r="T73" s="38"/>
      <c r="U73" s="38"/>
    </row>
    <row r="74" spans="2:21">
      <c r="B74" s="38"/>
      <c r="C74" s="38"/>
      <c r="D74" s="38"/>
      <c r="E74" s="38"/>
      <c r="F74" s="38"/>
      <c r="G74" s="38"/>
      <c r="H74" s="38"/>
      <c r="I74" s="38"/>
      <c r="J74" s="38"/>
      <c r="K74" s="38"/>
      <c r="M74" s="22"/>
      <c r="N74" s="38"/>
      <c r="O74" s="47"/>
      <c r="P74" s="47"/>
      <c r="Q74" s="38"/>
      <c r="R74" s="102"/>
      <c r="S74" s="38"/>
      <c r="T74" s="38"/>
      <c r="U74" s="38"/>
    </row>
    <row r="75" spans="2:21">
      <c r="B75" s="22"/>
      <c r="C75" s="22"/>
      <c r="D75" s="22"/>
      <c r="E75" s="22"/>
      <c r="F75" s="22"/>
      <c r="G75" s="22"/>
      <c r="H75" s="22"/>
      <c r="I75" s="22"/>
      <c r="J75" s="22"/>
      <c r="K75" s="22"/>
      <c r="M75" s="22"/>
      <c r="N75" s="38"/>
      <c r="O75" s="38"/>
      <c r="P75" s="38"/>
      <c r="Q75" s="38"/>
      <c r="R75" s="102"/>
      <c r="S75" s="38"/>
      <c r="T75" s="38"/>
      <c r="U75" s="38"/>
    </row>
    <row r="76" spans="2:21">
      <c r="B76" s="22"/>
      <c r="C76" s="22"/>
      <c r="D76" s="22"/>
      <c r="E76" s="22"/>
      <c r="F76" s="22"/>
      <c r="G76" s="22"/>
      <c r="H76" s="22"/>
      <c r="I76" s="22"/>
      <c r="J76" s="22"/>
      <c r="K76" s="22"/>
      <c r="M76" s="22"/>
      <c r="N76" s="38"/>
      <c r="O76" s="38"/>
      <c r="P76" s="38"/>
      <c r="Q76" s="38"/>
      <c r="R76" s="102"/>
      <c r="S76" s="38"/>
      <c r="T76" s="38"/>
      <c r="U76" s="38"/>
    </row>
    <row r="77" spans="2:21">
      <c r="B77" s="22"/>
      <c r="C77" s="22"/>
      <c r="D77" s="22"/>
      <c r="E77" s="22"/>
      <c r="F77" s="22"/>
      <c r="G77" s="22"/>
      <c r="H77" s="22"/>
      <c r="I77" s="22"/>
      <c r="J77" s="22"/>
      <c r="K77" s="22"/>
      <c r="M77" s="22"/>
      <c r="N77" s="22"/>
      <c r="O77" s="22"/>
      <c r="P77" s="22"/>
      <c r="Q77" s="22"/>
      <c r="R77" s="324"/>
      <c r="S77" s="22"/>
      <c r="T77" s="22"/>
      <c r="U77" s="22"/>
    </row>
  </sheetData>
  <sheetProtection algorithmName="SHA-512" hashValue="7Hv7X5GImSEQ+EmdbFR2Kqmy3PBsObLfaXG9LcjC3kWplMcpydZGcs2BY6rLPKSEtoqVLHk6ANgjBldUyLToug==" saltValue="kTGqRl1RnRZhe5WaiQCgcg==" spinCount="100000" sheet="1" objects="1" scenarios="1"/>
  <mergeCells count="11">
    <mergeCell ref="E16:F16"/>
    <mergeCell ref="Y22:Z22"/>
    <mergeCell ref="C47:J47"/>
    <mergeCell ref="C11:J11"/>
    <mergeCell ref="C45:J45"/>
    <mergeCell ref="X9:AD9"/>
    <mergeCell ref="N9:T9"/>
    <mergeCell ref="N45:T45"/>
    <mergeCell ref="N47:T47"/>
    <mergeCell ref="N11:T11"/>
    <mergeCell ref="X11:AD11"/>
  </mergeCells>
  <dataValidations xWindow="1248" yWindow="526" count="4">
    <dataValidation type="list" allowBlank="1" showInputMessage="1" showErrorMessage="1" prompt="Please choose whether the effects of free allocation on the EUA costs should be considered in the graph (&quot;yes&quot;) or not (&quot;no&quot;)." sqref="J17" xr:uid="{00000000-0002-0000-0300-000000000000}">
      <formula1>"yes,no"</formula1>
    </dataValidation>
    <dataValidation allowBlank="1" showErrorMessage="1" sqref="E17" xr:uid="{00000000-0002-0000-0300-000001000000}"/>
    <dataValidation allowBlank="1" showInputMessage="1" showErrorMessage="1" prompt="Hier können verschiedene Preisannahmen für Einzelvariablen hinterlegt werden und die Auswirkung auf die Transformationskosten werden direkt im Diagramm visualisiert." sqref="R50" xr:uid="{00000000-0002-0000-0300-000002000000}"/>
    <dataValidation type="list" allowBlank="1" showInputMessage="1" showErrorMessage="1" prompt="Please choose which technology should be displayed in the graph: _x000a_DRI-EAF_NG: DRI-EAF natural gas_x000a_DRI-EAF_H2: DRI-EAF hydrogen" sqref="Y22:Z22" xr:uid="{00000000-0002-0000-0300-000003000000}">
      <formula1>$Y$14:$Z$14</formula1>
    </dataValidation>
  </dataValidations>
  <pageMargins left="0.7" right="0.7" top="0.75" bottom="0.75" header="0.3" footer="0.3"/>
  <pageSetup orientation="portrait" verticalDpi="601" r:id="rId1"/>
  <drawing r:id="rId2"/>
  <extLst>
    <ext xmlns:x14="http://schemas.microsoft.com/office/spreadsheetml/2009/9/main" uri="{CCE6A557-97BC-4b89-ADB6-D9C93CAAB3DF}">
      <x14:dataValidations xmlns:xm="http://schemas.microsoft.com/office/excel/2006/main" xWindow="1248" yWindow="526" count="4">
        <x14:dataValidation type="list" allowBlank="1" showInputMessage="1" showErrorMessage="1" prompt="Please choose which cost components should be considered in the graph (just OPEX or OPEX and CAPEX)._x000a_" xr:uid="{00000000-0002-0000-0300-000004000000}">
          <x14:formula1>
            <xm:f>'Chart table'!$P$9:$P$10</xm:f>
          </x14:formula1>
          <xm:sqref>E16:F16</xm:sqref>
        </x14:dataValidation>
        <x14:dataValidation type="list" allowBlank="1" showInputMessage="1" showErrorMessage="1" prompt="In these cells different individual cost variables can be chosen for sensitivity analysis." xr:uid="{00000000-0002-0000-0300-000005000000}">
          <x14:formula1>
            <xm:f>Calculator!$C$10:$C$26</xm:f>
          </x14:formula1>
          <xm:sqref>N50:N54</xm:sqref>
        </x14:dataValidation>
        <x14:dataValidation type="list" allowBlank="1" showInputMessage="1" showErrorMessage="1" prompt="Please choose the reference value for the determination of the CO2 reduction:_x000a_Blast furnace route - reference: Blast furnace route (benchmark plant)_x000a_Blast furnace route - calculated: Blast furnace route (existing plant)_x000a_DRI-EAF_NG: DRI plant natural gas_x000a_" xr:uid="{00000000-0002-0000-0300-000006000000}">
          <x14:formula1>
            <xm:f>'Chart table'!$I$26:$K$26</xm:f>
          </x14:formula1>
          <xm:sqref>P15</xm:sqref>
        </x14:dataValidation>
        <x14:dataValidation type="list" allowBlank="1" showInputMessage="1" showErrorMessage="1" prompt="Please choose the reference value for the determination of the CO2 reduction:_x000a_Blast furnace route - reference: Blast furnace route (benchmark plant)_x000a_Blast furnace route - calculated: Blast furnace route (existing plant)" xr:uid="{00000000-0002-0000-0300-000007000000}">
          <x14:formula1>
            <xm:f>'Chart table'!$I$26:$J$26</xm:f>
          </x14:formula1>
          <xm:sqref>O15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08"/>
  <sheetViews>
    <sheetView zoomScale="70" zoomScaleNormal="70" workbookViewId="0"/>
  </sheetViews>
  <sheetFormatPr baseColWidth="10" defaultColWidth="10" defaultRowHeight="13.2"/>
  <cols>
    <col min="1" max="2" width="3" style="1" customWidth="1"/>
    <col min="3" max="3" width="31" style="1" customWidth="1"/>
    <col min="4" max="4" width="15.59765625" style="1" bestFit="1" customWidth="1"/>
    <col min="5" max="5" width="13.69921875" style="1" customWidth="1"/>
    <col min="6" max="6" width="13.69921875" style="1" bestFit="1" customWidth="1"/>
    <col min="7" max="7" width="10" style="1"/>
    <col min="8" max="8" width="15.59765625" style="1" bestFit="1" customWidth="1"/>
    <col min="9" max="9" width="30.796875" style="1" bestFit="1" customWidth="1"/>
    <col min="10" max="10" width="25.69921875" style="1" bestFit="1" customWidth="1"/>
    <col min="11" max="11" width="10.69921875" style="1" bestFit="1" customWidth="1"/>
    <col min="12" max="12" width="15.59765625" style="1" bestFit="1" customWidth="1"/>
    <col min="13" max="13" width="13.69921875" style="1" bestFit="1" customWidth="1"/>
    <col min="14" max="14" width="13.3984375" style="1" bestFit="1" customWidth="1"/>
    <col min="15" max="15" width="5.19921875" style="1" customWidth="1"/>
    <col min="16" max="17" width="11.69921875" style="1" bestFit="1" customWidth="1"/>
    <col min="18" max="18" width="10" style="1"/>
    <col min="19" max="19" width="3" style="1" customWidth="1"/>
    <col min="20" max="16384" width="10" style="1"/>
  </cols>
  <sheetData>
    <row r="1" spans="2:19">
      <c r="D1" s="70"/>
      <c r="E1" s="70"/>
      <c r="F1" s="70"/>
    </row>
    <row r="2" spans="2:19">
      <c r="B2" s="22"/>
      <c r="C2" s="22"/>
      <c r="D2" s="55"/>
      <c r="E2" s="55"/>
      <c r="F2" s="55"/>
      <c r="G2" s="22"/>
      <c r="H2" s="22"/>
      <c r="I2" s="22"/>
      <c r="J2" s="22"/>
      <c r="K2" s="22"/>
      <c r="L2" s="22"/>
      <c r="M2" s="22"/>
      <c r="N2" s="22"/>
      <c r="O2" s="22"/>
      <c r="P2" s="22"/>
      <c r="Q2" s="22"/>
      <c r="R2" s="22"/>
      <c r="S2" s="22"/>
    </row>
    <row r="3" spans="2:19">
      <c r="B3" s="22"/>
      <c r="C3" s="22"/>
      <c r="D3" s="55"/>
      <c r="E3" s="55"/>
      <c r="F3" s="55"/>
      <c r="G3" s="22"/>
      <c r="H3" s="22"/>
      <c r="I3" s="22"/>
      <c r="J3" s="22"/>
      <c r="K3" s="22"/>
      <c r="L3" s="22"/>
      <c r="M3" s="22"/>
      <c r="N3" s="22"/>
      <c r="O3" s="22"/>
      <c r="P3" s="22"/>
      <c r="Q3" s="22"/>
      <c r="R3" s="22"/>
      <c r="S3" s="22"/>
    </row>
    <row r="4" spans="2:19" ht="17.399999999999999">
      <c r="B4" s="22"/>
      <c r="C4" s="262" t="s">
        <v>427</v>
      </c>
      <c r="D4" s="55"/>
      <c r="E4" s="55"/>
      <c r="F4" s="55"/>
      <c r="G4" s="22"/>
      <c r="H4" s="22"/>
      <c r="I4" s="22"/>
      <c r="J4" s="22"/>
      <c r="K4" s="22"/>
      <c r="L4" s="22"/>
      <c r="M4" s="22"/>
      <c r="N4" s="22"/>
      <c r="O4" s="22"/>
      <c r="P4" s="22"/>
      <c r="Q4" s="22"/>
      <c r="R4" s="22"/>
      <c r="S4" s="22"/>
    </row>
    <row r="5" spans="2:19" ht="13.95" customHeight="1" thickBot="1">
      <c r="B5" s="22"/>
      <c r="C5" s="179"/>
      <c r="D5" s="180"/>
      <c r="E5" s="180"/>
      <c r="F5" s="180"/>
      <c r="G5" s="181"/>
      <c r="H5" s="181"/>
      <c r="I5" s="181"/>
      <c r="J5" s="181"/>
      <c r="K5" s="181"/>
      <c r="L5" s="181"/>
      <c r="M5" s="181"/>
      <c r="N5" s="181"/>
      <c r="O5" s="181"/>
      <c r="P5" s="181"/>
      <c r="Q5" s="181"/>
      <c r="R5" s="181"/>
      <c r="S5" s="38"/>
    </row>
    <row r="6" spans="2:19" ht="13.8" thickTop="1">
      <c r="B6" s="22"/>
      <c r="C6" s="22"/>
      <c r="D6" s="55"/>
      <c r="E6" s="55"/>
      <c r="F6" s="55"/>
      <c r="G6" s="22"/>
      <c r="H6" s="22"/>
      <c r="I6" s="22"/>
      <c r="J6" s="22"/>
      <c r="K6" s="22"/>
      <c r="L6" s="22"/>
      <c r="M6" s="22"/>
      <c r="N6" s="22"/>
      <c r="O6" s="22"/>
      <c r="P6" s="22"/>
      <c r="Q6" s="22"/>
      <c r="R6" s="22"/>
      <c r="S6" s="38"/>
    </row>
    <row r="7" spans="2:19" ht="17.399999999999999">
      <c r="B7" s="22"/>
      <c r="C7" s="26" t="s">
        <v>403</v>
      </c>
      <c r="D7" s="22"/>
      <c r="E7" s="22"/>
      <c r="F7" s="22"/>
      <c r="G7" s="22"/>
      <c r="H7" s="22"/>
      <c r="I7" s="22"/>
      <c r="J7" s="22"/>
      <c r="K7" s="22"/>
      <c r="L7" s="22"/>
      <c r="M7" s="22"/>
      <c r="N7" s="22"/>
      <c r="O7" s="22"/>
      <c r="P7" s="22"/>
      <c r="Q7" s="22"/>
      <c r="R7" s="22"/>
      <c r="S7" s="22"/>
    </row>
    <row r="8" spans="2:19" s="225" customFormat="1">
      <c r="B8" s="223"/>
      <c r="C8" s="224" t="s">
        <v>424</v>
      </c>
      <c r="D8" s="224" t="s">
        <v>429</v>
      </c>
      <c r="E8" s="224" t="s">
        <v>14</v>
      </c>
      <c r="F8" s="224" t="s">
        <v>15</v>
      </c>
      <c r="G8" s="224"/>
      <c r="H8" s="224" t="s">
        <v>429</v>
      </c>
      <c r="I8" s="224" t="s">
        <v>14</v>
      </c>
      <c r="J8" s="224" t="s">
        <v>15</v>
      </c>
      <c r="K8" s="224"/>
      <c r="L8" s="224" t="s">
        <v>429</v>
      </c>
      <c r="M8" s="224" t="s">
        <v>14</v>
      </c>
      <c r="N8" s="224" t="s">
        <v>15</v>
      </c>
      <c r="O8" s="223"/>
      <c r="P8" s="223"/>
      <c r="Q8" s="223"/>
      <c r="R8" s="223"/>
      <c r="S8" s="223"/>
    </row>
    <row r="9" spans="2:19" s="34" customFormat="1">
      <c r="B9" s="153"/>
      <c r="C9" s="223" t="str">
        <f>IF(Results!$E$16='Chart table'!P10,"","CAPEX")</f>
        <v>CAPEX</v>
      </c>
      <c r="D9" s="226">
        <f>IF(Results!$E$16='Chart table'!P10,"",Calculator!S44)</f>
        <v>16.244444444444444</v>
      </c>
      <c r="E9" s="226">
        <f>IF(Results!$E$16='Chart table'!P10,"",Calculator!AE44)</f>
        <v>79.12</v>
      </c>
      <c r="F9" s="226">
        <f>IF(Results!$E$16='Chart table'!P10,"",Calculator!AQ44)</f>
        <v>79.12</v>
      </c>
      <c r="G9" s="153"/>
      <c r="H9" s="153"/>
      <c r="I9" s="153"/>
      <c r="J9" s="153"/>
      <c r="K9" s="153"/>
      <c r="L9" s="153"/>
      <c r="M9" s="153"/>
      <c r="N9" s="153"/>
      <c r="O9" s="153"/>
      <c r="P9" s="153" t="s">
        <v>43</v>
      </c>
      <c r="Q9" s="153"/>
      <c r="R9" s="153"/>
      <c r="S9" s="153"/>
    </row>
    <row r="10" spans="2:19" s="34" customFormat="1">
      <c r="B10" s="153"/>
      <c r="C10" s="153" t="s">
        <v>432</v>
      </c>
      <c r="D10" s="227">
        <f>Calculator!S33</f>
        <v>398.10400578811374</v>
      </c>
      <c r="E10" s="227">
        <f>Calculator!AE33</f>
        <v>484.23561973684212</v>
      </c>
      <c r="F10" s="227">
        <f>Calculator!AQ33</f>
        <v>668.37293756345184</v>
      </c>
      <c r="G10" s="153"/>
      <c r="H10" s="153"/>
      <c r="I10" s="153"/>
      <c r="J10" s="153"/>
      <c r="K10" s="153"/>
      <c r="L10" s="153"/>
      <c r="M10" s="153"/>
      <c r="N10" s="153"/>
      <c r="O10" s="153"/>
      <c r="P10" s="153" t="s">
        <v>434</v>
      </c>
      <c r="Q10" s="153"/>
      <c r="R10" s="153"/>
      <c r="S10" s="153"/>
    </row>
    <row r="11" spans="2:19" s="34" customFormat="1">
      <c r="B11" s="153"/>
      <c r="C11" s="258" t="str">
        <f>CONCATENATE("EUA costs (at ",Results!E17,"€/EUA)")</f>
        <v>EUA costs (at 100€/EUA)</v>
      </c>
      <c r="D11" s="227">
        <f>IF(Results!$J$17="yes",'Chart table'!L11,'Chart table'!H11)</f>
        <v>22.092000000000013</v>
      </c>
      <c r="E11" s="227">
        <f>IF(Results!$J$17="yes",'Chart table'!M11,'Chart table'!I11)</f>
        <v>4.6342567558335048</v>
      </c>
      <c r="F11" s="227">
        <f>IF(Results!$J$17="yes",'Chart table'!N11,'Chart table'!J11)</f>
        <v>-0.90295725370399715</v>
      </c>
      <c r="G11" s="153"/>
      <c r="H11" s="293">
        <f>IF(Results!$O$15='Chart table'!$I$26,Calculator!$S$47,Calculator!$S$48)</f>
        <v>171</v>
      </c>
      <c r="I11" s="293">
        <f>Calculator!$AE$48</f>
        <v>53.274929618775793</v>
      </c>
      <c r="J11" s="293">
        <f>Calculator!$AQ$48</f>
        <v>9.233243543200004</v>
      </c>
      <c r="K11" s="232"/>
      <c r="L11" s="305">
        <f>H11+Calculator!S50</f>
        <v>22.092000000000013</v>
      </c>
      <c r="M11" s="305">
        <f>SUM(Calculator!$AE$48:$AE$50)</f>
        <v>4.6342567558335048</v>
      </c>
      <c r="N11" s="305">
        <f>SUM(Calculator!$AQ$48:$AQ$50)</f>
        <v>-0.90295725370399715</v>
      </c>
      <c r="O11" s="153"/>
      <c r="P11" s="153"/>
      <c r="Q11" s="153"/>
      <c r="R11" s="153"/>
      <c r="S11" s="153"/>
    </row>
    <row r="12" spans="2:19" s="34" customFormat="1">
      <c r="B12" s="153"/>
      <c r="C12" s="153" t="s">
        <v>380</v>
      </c>
      <c r="D12" s="227">
        <f>SUM(D9:D11)</f>
        <v>436.44045023255819</v>
      </c>
      <c r="E12" s="227">
        <f>SUM(E9:E11)</f>
        <v>567.98987649267553</v>
      </c>
      <c r="F12" s="227">
        <f>SUM(F9:F11)</f>
        <v>746.58998030974783</v>
      </c>
      <c r="G12" s="153"/>
      <c r="H12" s="153"/>
      <c r="I12" s="153"/>
      <c r="J12" s="153"/>
      <c r="K12" s="153"/>
      <c r="L12" s="153"/>
      <c r="M12" s="153"/>
      <c r="N12" s="153"/>
      <c r="O12" s="153"/>
      <c r="P12" s="153"/>
      <c r="Q12" s="153"/>
      <c r="R12" s="153"/>
      <c r="S12" s="153"/>
    </row>
    <row r="13" spans="2:19">
      <c r="B13" s="22"/>
      <c r="C13" s="22"/>
      <c r="D13" s="22"/>
      <c r="E13" s="22"/>
      <c r="F13" s="22"/>
      <c r="G13" s="22"/>
      <c r="H13" s="22"/>
      <c r="I13" s="22"/>
      <c r="J13" s="22"/>
      <c r="K13" s="22"/>
      <c r="L13" s="22"/>
      <c r="M13" s="22"/>
      <c r="N13" s="22"/>
      <c r="O13" s="22"/>
      <c r="P13" s="22"/>
      <c r="Q13" s="22"/>
      <c r="R13" s="22"/>
      <c r="S13" s="22"/>
    </row>
    <row r="14" spans="2:19" s="123" customFormat="1" ht="17.399999999999999">
      <c r="B14" s="39"/>
      <c r="C14" s="178" t="s">
        <v>428</v>
      </c>
      <c r="D14" s="159"/>
      <c r="E14" s="159"/>
      <c r="F14" s="159"/>
      <c r="G14" s="39"/>
      <c r="H14" s="39"/>
      <c r="I14" s="39"/>
      <c r="J14" s="39"/>
      <c r="K14" s="39"/>
      <c r="L14" s="39"/>
      <c r="M14" s="39"/>
      <c r="N14" s="39"/>
      <c r="O14" s="39"/>
      <c r="P14" s="39"/>
      <c r="Q14" s="39"/>
      <c r="R14" s="39"/>
      <c r="S14" s="39"/>
    </row>
    <row r="15" spans="2:19" s="34" customFormat="1">
      <c r="B15" s="153"/>
      <c r="C15" s="223" t="s">
        <v>437</v>
      </c>
      <c r="D15" s="223" t="s">
        <v>429</v>
      </c>
      <c r="E15" s="223" t="s">
        <v>14</v>
      </c>
      <c r="F15" s="223" t="s">
        <v>15</v>
      </c>
      <c r="G15" s="153"/>
      <c r="H15" s="153"/>
      <c r="I15" s="153"/>
      <c r="J15" s="153"/>
      <c r="K15" s="153"/>
      <c r="L15" s="153"/>
      <c r="M15" s="153"/>
      <c r="N15" s="153"/>
      <c r="O15" s="153"/>
      <c r="P15" s="153"/>
      <c r="Q15" s="153"/>
      <c r="R15" s="153"/>
      <c r="S15" s="153"/>
    </row>
    <row r="16" spans="2:19" s="34" customFormat="1">
      <c r="B16" s="153"/>
      <c r="C16" s="153" t="s">
        <v>214</v>
      </c>
      <c r="D16" s="228">
        <f>Calculator!S16</f>
        <v>158.53752</v>
      </c>
      <c r="E16" s="228">
        <f>Calculator!AE17</f>
        <v>224.60899999999998</v>
      </c>
      <c r="F16" s="228">
        <f>Calculator!AQ17</f>
        <v>224.60899999999998</v>
      </c>
      <c r="G16" s="153"/>
      <c r="H16" s="153"/>
      <c r="I16" s="153"/>
      <c r="J16" s="153"/>
      <c r="K16" s="153"/>
      <c r="L16" s="153"/>
      <c r="M16" s="153"/>
      <c r="N16" s="153"/>
      <c r="O16" s="153"/>
      <c r="P16" s="153"/>
      <c r="Q16" s="153"/>
      <c r="R16" s="153"/>
      <c r="S16" s="153"/>
    </row>
    <row r="17" spans="1:19" s="34" customFormat="1">
      <c r="B17" s="153"/>
      <c r="C17" s="153" t="s">
        <v>426</v>
      </c>
      <c r="D17" s="228">
        <f>SUM(Calculator!S18:S22)</f>
        <v>97.986000000000004</v>
      </c>
      <c r="E17" s="228">
        <f>SUM(Calculator!AE18:AE22)</f>
        <v>75.281999999999996</v>
      </c>
      <c r="F17" s="228">
        <f>SUM(Calculator!AQ18:AQ22)</f>
        <v>75.281999999999996</v>
      </c>
      <c r="G17" s="153"/>
      <c r="H17" s="153"/>
      <c r="I17" s="153"/>
      <c r="J17" s="153"/>
      <c r="K17" s="153"/>
      <c r="L17" s="153"/>
      <c r="M17" s="153"/>
      <c r="N17" s="153"/>
      <c r="O17" s="153"/>
      <c r="P17" s="153"/>
      <c r="Q17" s="153"/>
      <c r="R17" s="153"/>
      <c r="S17" s="153"/>
    </row>
    <row r="18" spans="1:19" s="34" customFormat="1">
      <c r="B18" s="153"/>
      <c r="C18" s="153" t="s">
        <v>212</v>
      </c>
      <c r="D18" s="228">
        <f>Calculator!S14</f>
        <v>0</v>
      </c>
      <c r="E18" s="228">
        <f>Calculator!AE14</f>
        <v>0</v>
      </c>
      <c r="F18" s="228">
        <f>Calculator!AQ14</f>
        <v>267.21833756345177</v>
      </c>
      <c r="G18" s="153"/>
      <c r="H18" s="153"/>
      <c r="I18" s="153"/>
      <c r="J18" s="153"/>
      <c r="K18" s="153"/>
      <c r="L18" s="153"/>
      <c r="M18" s="153"/>
      <c r="N18" s="153"/>
      <c r="O18" s="153"/>
      <c r="P18" s="153"/>
      <c r="Q18" s="153"/>
      <c r="R18" s="153"/>
      <c r="S18" s="153"/>
    </row>
    <row r="19" spans="1:19" s="34" customFormat="1">
      <c r="B19" s="153"/>
      <c r="C19" s="153" t="s">
        <v>332</v>
      </c>
      <c r="D19" s="228">
        <f>Calculator!S10+Calculator!S11</f>
        <v>97.15</v>
      </c>
      <c r="E19" s="228">
        <f>Calculator!AE10+Calculator!AE11</f>
        <v>0</v>
      </c>
      <c r="F19" s="228">
        <f>Calculator!AQ10+Calculator!AQ11</f>
        <v>0</v>
      </c>
      <c r="G19" s="153"/>
      <c r="H19" s="153"/>
      <c r="I19" s="153"/>
      <c r="J19" s="153"/>
      <c r="K19" s="153"/>
      <c r="L19" s="153"/>
      <c r="M19" s="153"/>
      <c r="N19" s="153"/>
      <c r="O19" s="153"/>
      <c r="P19" s="153"/>
      <c r="Q19" s="153"/>
      <c r="R19" s="153"/>
      <c r="S19" s="153"/>
    </row>
    <row r="20" spans="1:19" s="34" customFormat="1">
      <c r="B20" s="153"/>
      <c r="C20" s="153" t="s">
        <v>210</v>
      </c>
      <c r="D20" s="228">
        <f>Calculator!S12</f>
        <v>5.9431524547803605</v>
      </c>
      <c r="E20" s="228">
        <f>Calculator!AE12</f>
        <v>102.8560197368421</v>
      </c>
      <c r="F20" s="228">
        <f>Calculator!AQ12</f>
        <v>19.775000000000002</v>
      </c>
      <c r="G20" s="153"/>
      <c r="H20" s="153"/>
      <c r="I20" s="153"/>
      <c r="J20" s="153"/>
      <c r="K20" s="153"/>
      <c r="L20" s="153"/>
      <c r="M20" s="153"/>
      <c r="N20" s="153"/>
      <c r="O20" s="153"/>
      <c r="P20" s="153"/>
      <c r="Q20" s="153"/>
      <c r="R20" s="153"/>
      <c r="S20" s="153"/>
    </row>
    <row r="21" spans="1:19" s="34" customFormat="1">
      <c r="B21" s="153"/>
      <c r="C21" s="153" t="s">
        <v>211</v>
      </c>
      <c r="D21" s="228">
        <f>Calculator!S13</f>
        <v>0</v>
      </c>
      <c r="E21" s="228">
        <f>Calculator!AE13</f>
        <v>41.114999999999995</v>
      </c>
      <c r="F21" s="228">
        <f>Calculator!AQ13</f>
        <v>41.114999999999995</v>
      </c>
      <c r="G21" s="153"/>
      <c r="H21" s="153"/>
      <c r="I21" s="153"/>
      <c r="J21" s="153"/>
      <c r="K21" s="153"/>
      <c r="L21" s="153"/>
      <c r="M21" s="229"/>
      <c r="N21" s="229"/>
      <c r="O21" s="229"/>
      <c r="P21" s="229"/>
      <c r="Q21" s="229"/>
      <c r="R21" s="229"/>
      <c r="S21" s="153"/>
    </row>
    <row r="22" spans="1:19" s="34" customFormat="1">
      <c r="B22" s="153"/>
      <c r="C22" s="153" t="s">
        <v>433</v>
      </c>
      <c r="D22" s="228">
        <f>SUM(Calculator!S24:S26)</f>
        <v>38.487333333333332</v>
      </c>
      <c r="E22" s="228">
        <f>SUM(Calculator!AE24:AE26)</f>
        <v>40.373600000000003</v>
      </c>
      <c r="F22" s="228">
        <f>SUM(Calculator!AQ24:AQ26)</f>
        <v>40.373600000000003</v>
      </c>
      <c r="G22" s="153"/>
      <c r="H22" s="153"/>
      <c r="I22" s="153"/>
      <c r="J22" s="153"/>
      <c r="K22" s="153"/>
      <c r="L22" s="153"/>
      <c r="M22" s="229"/>
      <c r="N22" s="229"/>
      <c r="O22" s="229"/>
      <c r="P22" s="229"/>
      <c r="Q22" s="229"/>
      <c r="R22" s="229"/>
      <c r="S22" s="153"/>
    </row>
    <row r="23" spans="1:19">
      <c r="B23" s="22"/>
      <c r="C23" s="22"/>
      <c r="D23" s="22"/>
      <c r="E23" s="22"/>
      <c r="F23" s="22"/>
      <c r="G23" s="22"/>
      <c r="H23" s="22"/>
      <c r="I23" s="22"/>
      <c r="J23" s="22"/>
      <c r="K23" s="22"/>
      <c r="L23" s="22"/>
      <c r="M23" s="38"/>
      <c r="N23" s="38"/>
      <c r="O23" s="38"/>
      <c r="P23" s="38"/>
      <c r="Q23" s="38"/>
      <c r="R23" s="38"/>
      <c r="S23" s="22"/>
    </row>
    <row r="24" spans="1:19">
      <c r="B24" s="22"/>
      <c r="C24" s="22"/>
      <c r="D24" s="22"/>
      <c r="E24" s="22"/>
      <c r="F24" s="22"/>
      <c r="G24" s="22"/>
      <c r="H24" s="22"/>
      <c r="I24" s="22"/>
      <c r="J24" s="22"/>
      <c r="K24" s="22"/>
      <c r="L24" s="22"/>
      <c r="M24" s="38"/>
      <c r="N24" s="38"/>
      <c r="O24" s="38"/>
      <c r="P24" s="38"/>
      <c r="Q24" s="38"/>
      <c r="R24" s="38"/>
      <c r="S24" s="22"/>
    </row>
    <row r="25" spans="1:19" s="33" customFormat="1" ht="21">
      <c r="A25" s="113"/>
      <c r="B25" s="118"/>
      <c r="C25" s="122" t="s">
        <v>425</v>
      </c>
      <c r="D25" s="48"/>
      <c r="E25" s="48"/>
      <c r="F25" s="48"/>
      <c r="G25" s="48"/>
      <c r="H25" s="48"/>
      <c r="I25" s="48"/>
      <c r="J25" s="48"/>
      <c r="K25" s="48"/>
      <c r="L25" s="38"/>
      <c r="M25" s="48"/>
      <c r="N25" s="48"/>
      <c r="O25" s="48"/>
      <c r="P25" s="48"/>
      <c r="Q25" s="38"/>
      <c r="R25" s="38"/>
      <c r="S25" s="38"/>
    </row>
    <row r="26" spans="1:19" s="34" customFormat="1">
      <c r="B26" s="153"/>
      <c r="C26" s="230"/>
      <c r="D26" s="230"/>
      <c r="E26" s="231" t="s">
        <v>14</v>
      </c>
      <c r="F26" s="231" t="s">
        <v>15</v>
      </c>
      <c r="G26" s="231"/>
      <c r="H26" s="231" t="s">
        <v>438</v>
      </c>
      <c r="I26" s="231" t="s">
        <v>435</v>
      </c>
      <c r="J26" s="231" t="s">
        <v>430</v>
      </c>
      <c r="K26" s="231" t="s">
        <v>14</v>
      </c>
      <c r="L26" s="153"/>
      <c r="M26" s="229"/>
      <c r="N26" s="229"/>
      <c r="O26" s="229"/>
      <c r="P26" s="229"/>
      <c r="Q26" s="229"/>
      <c r="R26" s="229"/>
      <c r="S26" s="153"/>
    </row>
    <row r="27" spans="1:19" s="34" customFormat="1">
      <c r="B27" s="153"/>
      <c r="C27" s="153" t="s">
        <v>431</v>
      </c>
      <c r="D27" s="153"/>
      <c r="E27" s="341">
        <f>HLOOKUP(Results!O15,$I$26:$K$27,2,FALSE)-K27</f>
        <v>1.2043333333333333</v>
      </c>
      <c r="F27" s="232">
        <f>HLOOKUP(Results!P15,$I$26:$K$27,2,FALSE)-Calculator!AL48</f>
        <v>1.6176675645679999</v>
      </c>
      <c r="G27" s="153"/>
      <c r="H27" s="153"/>
      <c r="I27" s="341">
        <f>Calculator!N47</f>
        <v>1.71</v>
      </c>
      <c r="J27" s="232">
        <f>Calculator!N48</f>
        <v>2.0173006933333335</v>
      </c>
      <c r="K27" s="341">
        <f>Calculator!Z47</f>
        <v>0.50566666666666671</v>
      </c>
      <c r="L27" s="153"/>
      <c r="M27" s="229"/>
      <c r="N27" s="229"/>
      <c r="O27" s="229"/>
      <c r="P27" s="229"/>
      <c r="Q27" s="229"/>
      <c r="R27" s="229"/>
      <c r="S27" s="153"/>
    </row>
    <row r="28" spans="1:19" s="34" customFormat="1">
      <c r="B28" s="153"/>
      <c r="C28" s="153" t="s">
        <v>419</v>
      </c>
      <c r="D28" s="153"/>
      <c r="E28" s="232"/>
      <c r="F28" s="232"/>
      <c r="G28" s="153"/>
      <c r="H28" s="153"/>
      <c r="I28" s="354" t="s">
        <v>439</v>
      </c>
      <c r="J28" s="354" t="s">
        <v>430</v>
      </c>
      <c r="K28" s="153" t="s">
        <v>14</v>
      </c>
      <c r="L28" s="153"/>
      <c r="M28" s="229"/>
      <c r="N28" s="229"/>
      <c r="O28" s="229"/>
      <c r="P28" s="229"/>
      <c r="Q28" s="229"/>
      <c r="R28" s="229"/>
      <c r="S28" s="153"/>
    </row>
    <row r="29" spans="1:19" s="34" customFormat="1">
      <c r="B29" s="153"/>
      <c r="C29" s="153" t="s">
        <v>13</v>
      </c>
      <c r="D29" s="153"/>
      <c r="E29" s="240">
        <f>(Calculator!AE44-Calculator!S44)/E27</f>
        <v>52.20776824430299</v>
      </c>
      <c r="F29" s="240">
        <f>(Calculator!AQ44-HLOOKUP(Results!$P$15,'Chart table'!$I$28:$K$29,2,TRUE))/F27</f>
        <v>38.868032550523793</v>
      </c>
      <c r="G29" s="153"/>
      <c r="H29" s="153"/>
      <c r="I29" s="232">
        <f>Calculator!S44</f>
        <v>16.244444444444444</v>
      </c>
      <c r="J29" s="232">
        <f>Calculator!S44</f>
        <v>16.244444444444444</v>
      </c>
      <c r="K29" s="232">
        <f>Calculator!AE44</f>
        <v>79.12</v>
      </c>
      <c r="L29" s="153"/>
      <c r="M29" s="233"/>
      <c r="N29" s="233"/>
      <c r="O29" s="233"/>
      <c r="P29" s="233"/>
      <c r="Q29" s="229"/>
      <c r="R29" s="229"/>
      <c r="S29" s="153"/>
    </row>
    <row r="30" spans="1:19" s="34" customFormat="1">
      <c r="B30" s="153"/>
      <c r="C30" s="153" t="s">
        <v>432</v>
      </c>
      <c r="D30" s="153"/>
      <c r="E30" s="239">
        <f>(Calculator!AE33-Calculator!S33)/E27</f>
        <v>71.518085205143976</v>
      </c>
      <c r="F30" s="240">
        <f>(Calculator!AQ33-HLOOKUP(Results!$P$15,'Chart table'!$I$28:$K$30,3,TRUE))/F27</f>
        <v>167.07322177626386</v>
      </c>
      <c r="G30" s="153"/>
      <c r="H30" s="153"/>
      <c r="I30" s="232">
        <f>Calculator!S33</f>
        <v>398.10400578811374</v>
      </c>
      <c r="J30" s="232">
        <f>Calculator!S33</f>
        <v>398.10400578811374</v>
      </c>
      <c r="K30" s="232">
        <f>Calculator!AE33</f>
        <v>484.23561973684212</v>
      </c>
      <c r="L30" s="153"/>
      <c r="M30" s="306"/>
      <c r="N30" s="229"/>
      <c r="O30" s="229"/>
      <c r="P30" s="229"/>
      <c r="Q30" s="229"/>
      <c r="R30" s="229"/>
      <c r="S30" s="153"/>
    </row>
    <row r="31" spans="1:19">
      <c r="A31" s="28"/>
      <c r="B31" s="21"/>
      <c r="C31" s="22"/>
      <c r="D31" s="22"/>
      <c r="E31" s="22"/>
      <c r="F31" s="22"/>
      <c r="G31" s="22"/>
      <c r="H31" s="22"/>
      <c r="I31" s="22"/>
      <c r="J31" s="22"/>
      <c r="K31" s="22"/>
      <c r="L31" s="22"/>
      <c r="M31" s="38"/>
      <c r="N31" s="38"/>
      <c r="O31" s="38"/>
      <c r="P31" s="38"/>
      <c r="Q31" s="38"/>
      <c r="R31" s="38"/>
      <c r="S31" s="22"/>
    </row>
    <row r="32" spans="1:19" ht="17.399999999999999">
      <c r="A32" s="28"/>
      <c r="B32" s="21"/>
      <c r="C32" s="122" t="s">
        <v>413</v>
      </c>
      <c r="D32" s="48"/>
      <c r="E32" s="48"/>
      <c r="F32" s="48"/>
      <c r="G32" s="48"/>
      <c r="H32" s="48"/>
      <c r="I32" s="48"/>
      <c r="J32" s="48"/>
      <c r="K32" s="48"/>
      <c r="L32" s="22"/>
      <c r="M32" s="38"/>
      <c r="N32" s="38"/>
      <c r="O32" s="38"/>
      <c r="P32" s="38"/>
      <c r="Q32" s="38"/>
      <c r="R32" s="38"/>
      <c r="S32" s="22"/>
    </row>
    <row r="33" spans="2:19" s="34" customFormat="1">
      <c r="B33" s="153"/>
      <c r="C33" s="234"/>
      <c r="D33" s="234"/>
      <c r="E33" s="224" t="s">
        <v>14</v>
      </c>
      <c r="F33" s="224" t="s">
        <v>15</v>
      </c>
      <c r="G33" s="224"/>
      <c r="H33" s="224"/>
      <c r="I33" s="231" t="s">
        <v>435</v>
      </c>
      <c r="J33" s="231" t="s">
        <v>430</v>
      </c>
      <c r="K33" s="224" t="s">
        <v>14</v>
      </c>
      <c r="L33" s="153"/>
      <c r="M33" s="229"/>
      <c r="N33" s="233"/>
      <c r="O33" s="233"/>
      <c r="P33" s="233"/>
      <c r="Q33" s="233"/>
      <c r="R33" s="229"/>
      <c r="S33" s="153"/>
    </row>
    <row r="34" spans="2:19" s="34" customFormat="1">
      <c r="B34" s="153"/>
      <c r="C34" s="153" t="str">
        <f>Results!$N50</f>
        <v>DRI Pellets</v>
      </c>
      <c r="D34" s="153"/>
      <c r="E34" s="239">
        <f>IF(C34&lt;&gt;0,(VLOOKUP($C34,Calculator!$C$10:$AR$26,29,FALSE)-VLOOKUP($C34,Calculator!$C$10:$AR$26,17,FALSE))/E$27,"")</f>
        <v>186.50069194575144</v>
      </c>
      <c r="F34" s="228">
        <f>IF(C34&lt;&gt;0,(VLOOKUP($C34,Calculator!$C$10:$AR$26,41,FALSE)-HLOOKUP(Results!$P$15,'Chart table'!$I$33:$K$38,2,FALSE))/F$27,"")</f>
        <v>138.84743993119631</v>
      </c>
      <c r="G34" s="153"/>
      <c r="H34" s="153"/>
      <c r="I34" s="232">
        <f>VLOOKUP($C34,Calculator!$C$10:$AR$26,17,FALSE)</f>
        <v>0</v>
      </c>
      <c r="J34" s="232">
        <f>VLOOKUP($C34,Calculator!$C$10:$AR$26,17,FALSE)</f>
        <v>0</v>
      </c>
      <c r="K34" s="232">
        <f>Calculator!AE10</f>
        <v>0</v>
      </c>
      <c r="L34" s="258"/>
      <c r="M34" s="229"/>
      <c r="N34" s="229"/>
      <c r="O34" s="229"/>
      <c r="P34" s="229"/>
      <c r="Q34" s="229"/>
      <c r="R34" s="229"/>
      <c r="S34" s="153"/>
    </row>
    <row r="35" spans="2:19" s="34" customFormat="1">
      <c r="B35" s="153"/>
      <c r="C35" s="153" t="str">
        <f>Results!$N51</f>
        <v>Iron ore</v>
      </c>
      <c r="D35" s="153"/>
      <c r="E35" s="240">
        <f>IF(C35&lt;&gt;0,(VLOOKUP($C35,Calculator!$C$10:$AR$26,29,FALSE)-VLOOKUP($C35,Calculator!$C$10:$AR$26,17,FALSE))/E$27,"")</f>
        <v>-131.63923609189041</v>
      </c>
      <c r="F35" s="228">
        <f>IF(C35&lt;&gt;0,(VLOOKUP($C35,Calculator!$C$10:$AR$26,41,FALSE)-HLOOKUP(Results!$P$15,'Chart table'!$I$33:$K$38,3,FALSE))/F$27,"")</f>
        <v>-98.003770040563083</v>
      </c>
      <c r="G35" s="153"/>
      <c r="H35" s="153"/>
      <c r="I35" s="232">
        <f>VLOOKUP($C35,Calculator!$C$10:$AR$26,17,FALSE)</f>
        <v>158.53752</v>
      </c>
      <c r="J35" s="232">
        <f>VLOOKUP($C35,Calculator!$C$10:$AR$26,17,FALSE)</f>
        <v>158.53752</v>
      </c>
      <c r="K35" s="232">
        <f>Calculator!AE11</f>
        <v>0</v>
      </c>
      <c r="L35" s="153"/>
      <c r="M35" s="229"/>
      <c r="N35" s="229"/>
      <c r="O35" s="229"/>
      <c r="P35" s="229"/>
      <c r="Q35" s="229"/>
      <c r="R35" s="229"/>
      <c r="S35" s="153"/>
    </row>
    <row r="36" spans="2:19" s="34" customFormat="1">
      <c r="B36" s="153"/>
      <c r="C36" s="153" t="str">
        <f>Results!$N52</f>
        <v>Hydrogen</v>
      </c>
      <c r="D36" s="153"/>
      <c r="E36" s="260">
        <f>IF(C36&lt;&gt;0,(VLOOKUP($C36,Calculator!$C$10:$AR$26,29,FALSE)-VLOOKUP($C36,Calculator!$C$10:$AR$26,17,FALSE))/E$27,"")</f>
        <v>0</v>
      </c>
      <c r="F36" s="228">
        <f>IF(C36&lt;&gt;0,(VLOOKUP($C36,Calculator!$C$10:$AR$26,41,FALSE)-HLOOKUP(Results!$P$15,'Chart table'!$I$33:$K$38,4,FALSE))/F$27,"")</f>
        <v>165.18742380472514</v>
      </c>
      <c r="G36" s="153"/>
      <c r="H36" s="153"/>
      <c r="I36" s="232">
        <f>VLOOKUP($C36,Calculator!$C$10:$AR$26,17,FALSE)</f>
        <v>0</v>
      </c>
      <c r="J36" s="232">
        <f>VLOOKUP($C36,Calculator!$C$10:$AR$26,17,FALSE)</f>
        <v>0</v>
      </c>
      <c r="K36" s="232">
        <f>Calculator!AE12</f>
        <v>102.8560197368421</v>
      </c>
      <c r="L36" s="153"/>
      <c r="M36" s="229"/>
      <c r="N36" s="229"/>
      <c r="O36" s="229"/>
      <c r="P36" s="229"/>
      <c r="Q36" s="229"/>
      <c r="R36" s="229"/>
      <c r="S36" s="153"/>
    </row>
    <row r="37" spans="2:19" s="34" customFormat="1">
      <c r="B37" s="153"/>
      <c r="C37" s="153" t="str">
        <f>Results!$N53</f>
        <v>Natural gas</v>
      </c>
      <c r="D37" s="153"/>
      <c r="E37" s="240">
        <f>IF(C37&lt;&gt;0,(VLOOKUP($C37,Calculator!$C$10:$AR$26,29,FALSE)-VLOOKUP($C37,Calculator!$C$10:$AR$26,17,FALSE))/E$27,"")</f>
        <v>80.4701361323513</v>
      </c>
      <c r="F37" s="228">
        <f>IF(C37&lt;&gt;0,(VLOOKUP($C37,Calculator!$C$10:$AR$26,41,FALSE)-HLOOKUP(Results!$P$15,'Chart table'!$I$33:$K$38,5,FALSE))/F$27,"")</f>
        <v>8.550488275947755</v>
      </c>
      <c r="G37" s="153"/>
      <c r="H37" s="153"/>
      <c r="I37" s="232">
        <f>VLOOKUP($C37,Calculator!$C$10:$AR$26,17,FALSE)</f>
        <v>5.9431524547803605</v>
      </c>
      <c r="J37" s="232">
        <f>VLOOKUP($C37,Calculator!$C$10:$AR$26,17,FALSE)</f>
        <v>5.9431524547803605</v>
      </c>
      <c r="K37" s="232">
        <f>Calculator!AE13</f>
        <v>41.114999999999995</v>
      </c>
      <c r="L37" s="153"/>
      <c r="M37" s="153"/>
      <c r="N37" s="153"/>
      <c r="O37" s="153"/>
      <c r="P37" s="153"/>
      <c r="Q37" s="153"/>
      <c r="R37" s="153"/>
      <c r="S37" s="153"/>
    </row>
    <row r="38" spans="2:19" s="34" customFormat="1">
      <c r="B38" s="153"/>
      <c r="C38" s="153" t="str">
        <f>Results!$N54</f>
        <v>Electricity</v>
      </c>
      <c r="D38" s="153"/>
      <c r="E38" s="239">
        <f>IF(C38&lt;&gt;0,(VLOOKUP($C38,Calculator!$C$10:$AR$26,29,FALSE)-VLOOKUP($C38,Calculator!$C$10:$AR$26,17,FALSE))/E$27,"")</f>
        <v>34.139219485192356</v>
      </c>
      <c r="F38" s="228">
        <f>IF(C38&lt;&gt;0,(VLOOKUP($C38,Calculator!$C$10:$AR$26,41,FALSE)-HLOOKUP(Results!$P$15,'Chart table'!$I$33:$K$38,6,FALSE))/F$27,"")</f>
        <v>25.416223271423387</v>
      </c>
      <c r="G38" s="153"/>
      <c r="H38" s="153"/>
      <c r="I38" s="232">
        <f>VLOOKUP($C38,Calculator!$C$10:$AR$26,17,FALSE)</f>
        <v>0</v>
      </c>
      <c r="J38" s="232">
        <f>VLOOKUP($C38,Calculator!$C$10:$AR$26,17,FALSE)</f>
        <v>0</v>
      </c>
      <c r="K38" s="232">
        <f>Calculator!AE14</f>
        <v>0</v>
      </c>
      <c r="L38" s="153"/>
      <c r="M38" s="153"/>
      <c r="N38" s="153"/>
      <c r="O38" s="153"/>
      <c r="P38" s="153"/>
      <c r="Q38" s="153"/>
      <c r="R38" s="153"/>
      <c r="S38" s="153"/>
    </row>
    <row r="39" spans="2:19" s="34" customFormat="1">
      <c r="B39" s="153"/>
      <c r="C39" s="153" t="str">
        <f>CONCATENATE(C34," ",C35," ",C36," ",C37," ",C38)</f>
        <v>DRI Pellets Iron ore Hydrogen Natural gas Electricity</v>
      </c>
      <c r="D39" s="153"/>
      <c r="E39" s="228">
        <f>SUM(E34:E38)</f>
        <v>169.47081147140472</v>
      </c>
      <c r="F39" s="228">
        <f>SUM(F34:F38)</f>
        <v>239.9978052427295</v>
      </c>
      <c r="G39" s="153"/>
      <c r="H39" s="153"/>
      <c r="I39" s="153"/>
      <c r="J39" s="153"/>
      <c r="K39" s="153"/>
      <c r="L39" s="153"/>
      <c r="M39" s="153"/>
      <c r="N39" s="153"/>
      <c r="O39" s="153"/>
      <c r="P39" s="153"/>
      <c r="Q39" s="153"/>
      <c r="R39" s="153"/>
      <c r="S39" s="153"/>
    </row>
    <row r="40" spans="2:19">
      <c r="B40" s="22"/>
      <c r="C40" s="22"/>
      <c r="D40" s="22"/>
      <c r="E40" s="22"/>
      <c r="F40" s="22"/>
      <c r="G40" s="22"/>
      <c r="H40" s="22"/>
      <c r="I40" s="22"/>
      <c r="J40" s="22"/>
      <c r="K40" s="22"/>
      <c r="L40" s="22"/>
      <c r="M40" s="22"/>
      <c r="N40" s="22"/>
      <c r="O40" s="22"/>
      <c r="P40" s="22"/>
      <c r="Q40" s="22"/>
      <c r="R40" s="22"/>
      <c r="S40" s="22"/>
    </row>
    <row r="41" spans="2:19" ht="17.399999999999999">
      <c r="B41" s="22"/>
      <c r="C41" s="178" t="s">
        <v>417</v>
      </c>
      <c r="D41" s="159"/>
      <c r="E41" s="159"/>
      <c r="F41" s="159"/>
      <c r="G41" s="159"/>
      <c r="H41" s="159"/>
      <c r="I41" s="159"/>
      <c r="J41" s="159"/>
      <c r="K41" s="159"/>
      <c r="L41" s="159"/>
      <c r="M41" s="159"/>
      <c r="N41" s="22"/>
      <c r="O41" s="22"/>
      <c r="P41" s="22"/>
      <c r="Q41" s="22"/>
      <c r="R41" s="22"/>
      <c r="S41" s="22"/>
    </row>
    <row r="42" spans="2:19" s="34" customFormat="1">
      <c r="B42" s="153"/>
      <c r="C42" s="259" t="str">
        <f>Results!Y22</f>
        <v>DRI-EAF_NG</v>
      </c>
      <c r="D42" s="223"/>
      <c r="E42" s="223"/>
      <c r="F42" s="223" t="s">
        <v>14</v>
      </c>
      <c r="G42" s="223"/>
      <c r="H42" s="223"/>
      <c r="I42" s="223"/>
      <c r="J42" s="223" t="s">
        <v>15</v>
      </c>
      <c r="K42" s="153"/>
      <c r="L42" s="153"/>
      <c r="M42" s="153"/>
      <c r="N42" s="153"/>
      <c r="O42" s="153"/>
      <c r="P42" s="153"/>
      <c r="Q42" s="153"/>
      <c r="R42" s="153"/>
      <c r="S42" s="153"/>
    </row>
    <row r="43" spans="2:19" s="34" customFormat="1">
      <c r="B43" s="153"/>
      <c r="C43" s="153"/>
      <c r="D43" s="228">
        <f t="shared" ref="D43:E46" si="0">IF($C$42=$F$42,G43,K43)</f>
        <v>0</v>
      </c>
      <c r="E43" s="228">
        <f t="shared" si="0"/>
        <v>123.72585344944696</v>
      </c>
      <c r="F43" s="153"/>
      <c r="G43" s="228">
        <v>0</v>
      </c>
      <c r="H43" s="228">
        <f>Results!O17</f>
        <v>123.72585344944696</v>
      </c>
      <c r="I43" s="153"/>
      <c r="J43" s="153"/>
      <c r="K43" s="228">
        <v>0</v>
      </c>
      <c r="L43" s="228">
        <f>Results!P17</f>
        <v>205.94125432678766</v>
      </c>
      <c r="M43" s="153"/>
      <c r="N43" s="153"/>
      <c r="O43" s="153"/>
      <c r="P43" s="153"/>
      <c r="Q43" s="153"/>
      <c r="R43" s="153"/>
      <c r="S43" s="153"/>
    </row>
    <row r="44" spans="2:19" s="34" customFormat="1">
      <c r="B44" s="153"/>
      <c r="C44" s="153" t="s">
        <v>13</v>
      </c>
      <c r="D44" s="228">
        <f t="shared" si="0"/>
        <v>62.875555555555565</v>
      </c>
      <c r="E44" s="228">
        <f t="shared" si="0"/>
        <v>62.875555555555565</v>
      </c>
      <c r="F44" s="153" t="s">
        <v>13</v>
      </c>
      <c r="G44" s="228">
        <f>Calculator!AE44-Calculator!S44</f>
        <v>62.875555555555565</v>
      </c>
      <c r="H44" s="228">
        <f>G44</f>
        <v>62.875555555555565</v>
      </c>
      <c r="I44" s="153"/>
      <c r="J44" s="153" t="s">
        <v>13</v>
      </c>
      <c r="K44" s="228">
        <f>IF(Results!P15='Chart table'!F42,0,Calculator!AQ44-Calculator!S44)</f>
        <v>62.875555555555565</v>
      </c>
      <c r="L44" s="228">
        <f>K44</f>
        <v>62.875555555555565</v>
      </c>
      <c r="M44" s="153"/>
      <c r="N44" s="153"/>
      <c r="O44" s="153"/>
      <c r="P44" s="153"/>
      <c r="Q44" s="153"/>
      <c r="R44" s="153"/>
      <c r="S44" s="153"/>
    </row>
    <row r="45" spans="2:19" s="34" customFormat="1">
      <c r="B45" s="153"/>
      <c r="C45" s="153" t="s">
        <v>9</v>
      </c>
      <c r="D45" s="228">
        <f t="shared" si="0"/>
        <v>86.131613948728386</v>
      </c>
      <c r="E45" s="228">
        <f t="shared" si="0"/>
        <v>-62.875555555555565</v>
      </c>
      <c r="F45" s="153" t="s">
        <v>9</v>
      </c>
      <c r="G45" s="228">
        <f>Calculator!AE33-Calculator!S33</f>
        <v>86.131613948728386</v>
      </c>
      <c r="H45" s="228">
        <f>G45-E27*'Chart table'!H43</f>
        <v>-62.875555555555565</v>
      </c>
      <c r="I45" s="153"/>
      <c r="J45" s="153" t="s">
        <v>9</v>
      </c>
      <c r="K45" s="307">
        <f>F30*F27</f>
        <v>270.2689317753381</v>
      </c>
      <c r="L45" s="228">
        <f>K45-F27*'Chart table'!L43</f>
        <v>-62.875555555555536</v>
      </c>
      <c r="M45" s="153"/>
      <c r="N45" s="153"/>
      <c r="O45" s="227"/>
      <c r="P45" s="233" t="s">
        <v>435</v>
      </c>
      <c r="Q45" s="233" t="s">
        <v>430</v>
      </c>
      <c r="R45" s="223" t="s">
        <v>14</v>
      </c>
      <c r="S45" s="153"/>
    </row>
    <row r="46" spans="2:19" s="34" customFormat="1">
      <c r="B46" s="153"/>
      <c r="C46" s="153" t="s">
        <v>237</v>
      </c>
      <c r="D46" s="228">
        <f t="shared" si="0"/>
        <v>0</v>
      </c>
      <c r="E46" s="228">
        <f t="shared" si="0"/>
        <v>124.05660623127355</v>
      </c>
      <c r="F46" s="153" t="s">
        <v>237</v>
      </c>
      <c r="G46" s="228">
        <v>0</v>
      </c>
      <c r="H46" s="314">
        <f>(Calculator!AE50-Calculator!S50)/Calculator!J50*'Chart table'!H43</f>
        <v>124.05660623127355</v>
      </c>
      <c r="I46" s="153"/>
      <c r="J46" s="153" t="s">
        <v>237</v>
      </c>
      <c r="K46" s="228">
        <v>0</v>
      </c>
      <c r="L46" s="314">
        <f>(Calculator!AQ50-HLOOKUP(Results!$P$15,'Chart table'!$P$45:$R$46,2,FALSE))/Calculator!J50*'Chart table'!L43</f>
        <v>285.78838393070703</v>
      </c>
      <c r="M46" s="153"/>
      <c r="N46" s="153"/>
      <c r="O46" s="153"/>
      <c r="P46" s="232">
        <f>SUM(Calculator!S50:S51)</f>
        <v>-148.90799999999999</v>
      </c>
      <c r="Q46" s="232">
        <f>SUM(Calculator!S50:S51)</f>
        <v>-148.90799999999999</v>
      </c>
      <c r="R46" s="232">
        <f>(SUM(Calculator!AE50:AE51))</f>
        <v>-48.640672862942289</v>
      </c>
      <c r="S46" s="153"/>
    </row>
    <row r="47" spans="2:19" s="34" customFormat="1">
      <c r="B47" s="153"/>
      <c r="C47" s="153"/>
      <c r="D47" s="153"/>
      <c r="E47" s="153"/>
      <c r="F47" s="153"/>
      <c r="G47" s="153"/>
      <c r="H47" s="153"/>
      <c r="I47" s="153"/>
      <c r="J47" s="153"/>
      <c r="K47" s="153"/>
      <c r="L47" s="153"/>
      <c r="M47" s="153"/>
      <c r="N47" s="153"/>
      <c r="O47" s="153"/>
      <c r="P47" s="153"/>
      <c r="Q47" s="153"/>
      <c r="R47" s="153"/>
      <c r="S47" s="153"/>
    </row>
    <row r="48" spans="2:19">
      <c r="B48" s="22"/>
      <c r="C48" s="22"/>
      <c r="D48" s="22"/>
      <c r="E48" s="22"/>
      <c r="F48" s="22"/>
      <c r="G48" s="22"/>
      <c r="H48" s="313"/>
      <c r="I48" s="22"/>
      <c r="J48" s="22"/>
      <c r="K48" s="22"/>
      <c r="L48" s="22"/>
      <c r="M48" s="22"/>
      <c r="N48" s="22"/>
      <c r="O48" s="22"/>
      <c r="P48" s="22"/>
      <c r="Q48" s="22"/>
      <c r="R48" s="22"/>
      <c r="S48" s="22"/>
    </row>
    <row r="108" spans="1:2">
      <c r="A108" s="33"/>
      <c r="B108" s="33"/>
    </row>
  </sheetData>
  <sheetProtection algorithmName="SHA-512" hashValue="32ahOjxX3V3fixK+qDm0oDX1jAg0qLY0Mpa8E+wFUOyb0vcYVztygFxw1yyU0Wq6sso4alnNMGarv9V49Svosw==" saltValue="WEFH3at0E4xSATwBtk0kMA==" spinCount="100000" sheet="1" objects="1" scenarios="1"/>
  <conditionalFormatting sqref="C43:L46">
    <cfRule type="expression" dxfId="6" priority="6">
      <formula>MOD(ROW(),2)=0</formula>
    </cfRule>
    <cfRule type="expression" priority="7">
      <formula>MOD(ROW(),2)=0</formula>
    </cfRule>
  </conditionalFormatting>
  <conditionalFormatting sqref="C34:K39">
    <cfRule type="expression" dxfId="5" priority="5">
      <formula>MOD(ROW(),2)=0</formula>
    </cfRule>
  </conditionalFormatting>
  <conditionalFormatting sqref="C27:K27 C28:H28 K28 C29:K30">
    <cfRule type="expression" dxfId="4" priority="4">
      <formula>MOD(ROW(),2)=0</formula>
    </cfRule>
  </conditionalFormatting>
  <conditionalFormatting sqref="C16:F22">
    <cfRule type="expression" dxfId="3" priority="3">
      <formula>MOD(ROW(),2)=0</formula>
    </cfRule>
  </conditionalFormatting>
  <conditionalFormatting sqref="C9:N12">
    <cfRule type="expression" dxfId="2" priority="2">
      <formula>MOD(ROW(),2)=0</formula>
    </cfRule>
  </conditionalFormatting>
  <pageMargins left="0.7" right="0.7" top="0.75" bottom="0.75" header="0.3" footer="0.3"/>
  <pageSetup orientation="portrait" verticalDpi="60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U57"/>
  <sheetViews>
    <sheetView zoomScale="70" zoomScaleNormal="70" workbookViewId="0">
      <pane xSplit="3" topLeftCell="D1" activePane="topRight" state="frozen"/>
      <selection pane="topRight"/>
    </sheetView>
  </sheetViews>
  <sheetFormatPr baseColWidth="10" defaultColWidth="10.19921875" defaultRowHeight="13.2"/>
  <cols>
    <col min="1" max="2" width="3" style="70" customWidth="1"/>
    <col min="3" max="3" width="53.69921875" style="70" customWidth="1"/>
    <col min="4" max="4" width="65.3984375" style="70" customWidth="1"/>
    <col min="5" max="5" width="11.69921875" style="70" bestFit="1" customWidth="1"/>
    <col min="6" max="8" width="10.19921875" style="70"/>
    <col min="9" max="9" width="17.69921875" style="70" customWidth="1"/>
    <col min="10" max="11" width="10.19921875" style="70"/>
    <col min="12" max="12" width="20.19921875" style="70" customWidth="1"/>
    <col min="13" max="13" width="79.69921875" style="70" bestFit="1" customWidth="1"/>
    <col min="14" max="15" width="10.19921875" style="70"/>
    <col min="16" max="16" width="60" style="70" customWidth="1"/>
    <col min="17" max="17" width="3" style="70" customWidth="1"/>
    <col min="18" max="16384" width="10.19921875" style="70"/>
  </cols>
  <sheetData>
    <row r="2" spans="2:17">
      <c r="B2" s="55"/>
      <c r="C2" s="55"/>
      <c r="D2" s="55"/>
      <c r="E2" s="55"/>
      <c r="F2" s="55"/>
      <c r="G2" s="55"/>
      <c r="H2" s="55"/>
      <c r="I2" s="55"/>
      <c r="J2" s="55"/>
      <c r="K2" s="55"/>
      <c r="L2" s="55"/>
      <c r="M2" s="55"/>
      <c r="N2" s="55"/>
      <c r="O2" s="55"/>
      <c r="P2" s="55"/>
      <c r="Q2" s="55"/>
    </row>
    <row r="3" spans="2:17" ht="17.399999999999999">
      <c r="B3" s="55"/>
      <c r="C3" s="71" t="s">
        <v>275</v>
      </c>
      <c r="D3" s="55"/>
      <c r="E3" s="55"/>
      <c r="F3" s="55"/>
      <c r="G3" s="55"/>
      <c r="H3" s="55"/>
      <c r="I3" s="55"/>
      <c r="J3" s="55"/>
      <c r="K3" s="55"/>
      <c r="L3" s="55"/>
      <c r="M3" s="55"/>
      <c r="N3" s="55"/>
      <c r="O3" s="55"/>
      <c r="P3" s="55"/>
      <c r="Q3" s="55"/>
    </row>
    <row r="4" spans="2:17" ht="17.399999999999999">
      <c r="B4" s="55"/>
      <c r="C4" s="71"/>
      <c r="D4" s="55"/>
      <c r="E4" s="55"/>
      <c r="F4" s="55"/>
      <c r="G4" s="55"/>
      <c r="H4" s="55"/>
      <c r="I4" s="55"/>
      <c r="J4" s="55"/>
      <c r="K4" s="55"/>
      <c r="L4" s="55"/>
      <c r="M4" s="55"/>
      <c r="N4" s="55"/>
      <c r="O4" s="55"/>
      <c r="P4" s="55"/>
      <c r="Q4" s="55"/>
    </row>
    <row r="5" spans="2:17" ht="52.8">
      <c r="B5" s="55"/>
      <c r="C5" s="126" t="s">
        <v>281</v>
      </c>
      <c r="D5" s="55"/>
      <c r="E5" s="55"/>
      <c r="F5" s="55"/>
      <c r="G5" s="55"/>
      <c r="H5" s="55"/>
      <c r="I5" s="55"/>
      <c r="J5" s="55"/>
      <c r="K5" s="55"/>
      <c r="L5" s="55"/>
      <c r="M5" s="55"/>
      <c r="N5" s="55"/>
      <c r="O5" s="55"/>
      <c r="P5" s="55"/>
      <c r="Q5" s="55"/>
    </row>
    <row r="6" spans="2:17">
      <c r="B6" s="55"/>
      <c r="C6" s="55"/>
      <c r="D6" s="55"/>
      <c r="E6" s="55"/>
      <c r="F6" s="55"/>
      <c r="G6" s="55"/>
      <c r="H6" s="55"/>
      <c r="I6" s="55"/>
      <c r="J6" s="55"/>
      <c r="K6" s="55"/>
      <c r="L6" s="55"/>
      <c r="M6" s="55"/>
      <c r="N6" s="53"/>
      <c r="O6" s="53"/>
      <c r="P6" s="53"/>
      <c r="Q6" s="55"/>
    </row>
    <row r="7" spans="2:17" s="101" customFormat="1">
      <c r="B7" s="54"/>
      <c r="C7" s="54"/>
      <c r="D7" s="54"/>
      <c r="E7" s="54"/>
      <c r="F7" s="361"/>
      <c r="G7" s="361"/>
      <c r="H7" s="361"/>
      <c r="I7" s="361"/>
      <c r="J7" s="361"/>
      <c r="K7" s="361"/>
      <c r="L7" s="297"/>
      <c r="M7" s="54"/>
      <c r="N7" s="361"/>
      <c r="O7" s="361"/>
      <c r="P7" s="361"/>
      <c r="Q7" s="54"/>
    </row>
    <row r="8" spans="2:17" s="101" customFormat="1">
      <c r="B8" s="54"/>
      <c r="C8" s="54" t="s">
        <v>280</v>
      </c>
      <c r="D8" s="54"/>
      <c r="E8" s="54"/>
      <c r="F8" s="51"/>
      <c r="G8" s="125"/>
      <c r="H8" s="336"/>
      <c r="I8" s="51"/>
      <c r="J8" s="51"/>
      <c r="K8" s="51"/>
      <c r="L8" s="297"/>
      <c r="M8" s="54"/>
      <c r="N8" s="51"/>
      <c r="O8" s="51"/>
      <c r="P8" s="51"/>
      <c r="Q8" s="54"/>
    </row>
    <row r="9" spans="2:17" s="101" customFormat="1">
      <c r="B9" s="54"/>
      <c r="C9" s="127"/>
      <c r="D9" s="127"/>
      <c r="E9" s="127"/>
      <c r="F9" s="127"/>
      <c r="G9" s="127"/>
      <c r="H9" s="127"/>
      <c r="I9" s="127"/>
      <c r="J9" s="127"/>
      <c r="K9" s="127"/>
      <c r="L9" s="128"/>
      <c r="M9" s="127"/>
      <c r="N9" s="127"/>
      <c r="O9" s="127"/>
      <c r="P9" s="127"/>
      <c r="Q9" s="54"/>
    </row>
    <row r="10" spans="2:17" s="101" customFormat="1">
      <c r="B10" s="54"/>
      <c r="C10" s="124"/>
      <c r="D10" s="124" t="s">
        <v>205</v>
      </c>
      <c r="E10" s="124" t="s">
        <v>240</v>
      </c>
      <c r="F10" s="124" t="s">
        <v>290</v>
      </c>
      <c r="G10" s="125"/>
      <c r="H10" s="336"/>
      <c r="I10" s="124"/>
      <c r="J10" s="124"/>
      <c r="K10" s="124"/>
      <c r="L10" s="129"/>
      <c r="M10" s="124"/>
      <c r="N10" s="124" t="s">
        <v>317</v>
      </c>
      <c r="O10" s="124"/>
      <c r="P10" s="124"/>
      <c r="Q10" s="54"/>
    </row>
    <row r="11" spans="2:17" s="101" customFormat="1">
      <c r="B11" s="54"/>
      <c r="C11" s="84"/>
      <c r="D11" s="84"/>
      <c r="E11" s="84"/>
      <c r="F11" s="84">
        <v>2020</v>
      </c>
      <c r="G11" s="84">
        <v>2022</v>
      </c>
      <c r="H11" s="84"/>
      <c r="I11" s="84">
        <v>2030</v>
      </c>
      <c r="J11" s="84">
        <v>2040</v>
      </c>
      <c r="K11" s="84">
        <v>2050</v>
      </c>
      <c r="L11" s="298" t="s">
        <v>301</v>
      </c>
      <c r="M11" s="84" t="s">
        <v>303</v>
      </c>
      <c r="N11" s="84" t="s">
        <v>63</v>
      </c>
      <c r="O11" s="84" t="s">
        <v>64</v>
      </c>
      <c r="P11" s="84" t="s">
        <v>65</v>
      </c>
      <c r="Q11" s="54"/>
    </row>
    <row r="12" spans="2:17" ht="13.8">
      <c r="B12" s="55"/>
      <c r="C12" s="56" t="s">
        <v>210</v>
      </c>
      <c r="D12" s="131" t="s">
        <v>173</v>
      </c>
      <c r="E12" s="339" t="s">
        <v>161</v>
      </c>
      <c r="F12" s="58">
        <v>12</v>
      </c>
      <c r="G12" s="339"/>
      <c r="H12" s="340"/>
      <c r="I12" s="58">
        <v>35</v>
      </c>
      <c r="J12" s="58"/>
      <c r="K12" s="58"/>
      <c r="L12" s="105">
        <v>35</v>
      </c>
      <c r="M12" s="58" t="s">
        <v>311</v>
      </c>
      <c r="N12" s="339">
        <v>12</v>
      </c>
      <c r="O12" s="339">
        <v>50</v>
      </c>
      <c r="P12" s="58" t="s">
        <v>323</v>
      </c>
      <c r="Q12" s="55"/>
    </row>
    <row r="13" spans="2:17">
      <c r="B13" s="55"/>
      <c r="C13" s="51" t="s">
        <v>213</v>
      </c>
      <c r="D13" s="53" t="s">
        <v>34</v>
      </c>
      <c r="E13" s="53" t="s">
        <v>3</v>
      </c>
      <c r="F13" s="51"/>
      <c r="G13" s="125"/>
      <c r="H13" s="336"/>
      <c r="I13" s="51"/>
      <c r="J13" s="51"/>
      <c r="K13" s="53">
        <v>57</v>
      </c>
      <c r="L13" s="105">
        <f>K13*0.903</f>
        <v>51.471000000000004</v>
      </c>
      <c r="M13" s="53" t="s">
        <v>316</v>
      </c>
      <c r="N13" s="53"/>
      <c r="O13" s="53"/>
      <c r="P13" s="53"/>
      <c r="Q13" s="55"/>
    </row>
    <row r="14" spans="2:17">
      <c r="B14" s="55"/>
      <c r="C14" s="56" t="s">
        <v>276</v>
      </c>
      <c r="D14" s="58" t="s">
        <v>103</v>
      </c>
      <c r="E14" s="339" t="s">
        <v>160</v>
      </c>
      <c r="F14" s="58"/>
      <c r="G14" s="58"/>
      <c r="H14" s="58"/>
      <c r="I14" s="58">
        <v>5.5</v>
      </c>
      <c r="J14" s="58"/>
      <c r="K14" s="58"/>
      <c r="L14" s="106">
        <f>I14</f>
        <v>5.5</v>
      </c>
      <c r="M14" s="58" t="s">
        <v>315</v>
      </c>
      <c r="N14" s="58">
        <v>4.3</v>
      </c>
      <c r="O14" s="58">
        <v>6.7</v>
      </c>
      <c r="P14" s="339" t="s">
        <v>322</v>
      </c>
      <c r="Q14" s="55"/>
    </row>
    <row r="15" spans="2:17">
      <c r="B15" s="55"/>
      <c r="C15" s="51" t="s">
        <v>211</v>
      </c>
      <c r="D15" s="80" t="s">
        <v>34</v>
      </c>
      <c r="E15" s="53" t="s">
        <v>3</v>
      </c>
      <c r="F15" s="51"/>
      <c r="G15" s="125"/>
      <c r="H15" s="336"/>
      <c r="I15" s="53" t="s">
        <v>28</v>
      </c>
      <c r="J15" s="53"/>
      <c r="K15" s="53" t="s">
        <v>29</v>
      </c>
      <c r="L15" s="106">
        <v>60</v>
      </c>
      <c r="M15" s="53" t="s">
        <v>312</v>
      </c>
      <c r="N15" s="53"/>
      <c r="O15" s="53"/>
      <c r="P15" s="53"/>
      <c r="Q15" s="55"/>
    </row>
    <row r="16" spans="2:17" ht="13.8">
      <c r="B16" s="55"/>
      <c r="C16" s="56" t="s">
        <v>208</v>
      </c>
      <c r="D16" s="58" t="s">
        <v>178</v>
      </c>
      <c r="E16" s="339" t="s">
        <v>161</v>
      </c>
      <c r="F16" s="58"/>
      <c r="G16" s="339"/>
      <c r="H16" s="340"/>
      <c r="I16" s="58"/>
      <c r="J16" s="58"/>
      <c r="K16" s="58"/>
      <c r="L16" s="106">
        <v>200</v>
      </c>
      <c r="M16" s="58" t="s">
        <v>313</v>
      </c>
      <c r="N16" s="339">
        <v>94</v>
      </c>
      <c r="O16" s="339">
        <v>378</v>
      </c>
      <c r="P16" s="58" t="s">
        <v>321</v>
      </c>
      <c r="Q16" s="55"/>
    </row>
    <row r="17" spans="1:21">
      <c r="B17" s="55"/>
      <c r="C17" s="51" t="s">
        <v>277</v>
      </c>
      <c r="D17" s="266" t="s">
        <v>93</v>
      </c>
      <c r="E17" s="53" t="s">
        <v>6</v>
      </c>
      <c r="F17" s="257">
        <f>100*1.1</f>
        <v>110.00000000000001</v>
      </c>
      <c r="G17" s="53"/>
      <c r="H17" s="303"/>
      <c r="I17" s="53"/>
      <c r="J17" s="53"/>
      <c r="K17" s="53"/>
      <c r="L17" s="106">
        <f>F17</f>
        <v>110.00000000000001</v>
      </c>
      <c r="M17" s="53" t="s">
        <v>314</v>
      </c>
      <c r="N17" s="68">
        <f>45*1.1</f>
        <v>49.500000000000007</v>
      </c>
      <c r="O17" s="53">
        <f>120*1.1</f>
        <v>132</v>
      </c>
      <c r="P17" s="53" t="s">
        <v>320</v>
      </c>
      <c r="Q17" s="55"/>
    </row>
    <row r="18" spans="1:21">
      <c r="B18" s="55"/>
      <c r="C18" s="56" t="s">
        <v>216</v>
      </c>
      <c r="D18" s="82" t="s">
        <v>16</v>
      </c>
      <c r="E18" s="58" t="s">
        <v>6</v>
      </c>
      <c r="F18" s="58">
        <v>100</v>
      </c>
      <c r="G18" s="58"/>
      <c r="H18" s="58"/>
      <c r="I18" s="58"/>
      <c r="J18" s="58"/>
      <c r="K18" s="58"/>
      <c r="L18" s="106">
        <f>F18</f>
        <v>100</v>
      </c>
      <c r="M18" s="58"/>
      <c r="N18" s="58"/>
      <c r="O18" s="58"/>
      <c r="P18" s="58"/>
      <c r="Q18" s="55"/>
    </row>
    <row r="19" spans="1:21" ht="13.8">
      <c r="B19" s="55"/>
      <c r="C19" s="51" t="s">
        <v>214</v>
      </c>
      <c r="D19" s="53" t="s">
        <v>88</v>
      </c>
      <c r="E19" s="53" t="s">
        <v>30</v>
      </c>
      <c r="F19" s="53">
        <v>114</v>
      </c>
      <c r="G19" s="196"/>
      <c r="H19" s="338"/>
      <c r="I19" s="53">
        <v>123</v>
      </c>
      <c r="J19" s="53">
        <v>133</v>
      </c>
      <c r="K19" s="53">
        <v>143</v>
      </c>
      <c r="L19" s="106">
        <f>F19</f>
        <v>114</v>
      </c>
      <c r="M19" s="53" t="s">
        <v>310</v>
      </c>
      <c r="N19" s="94"/>
      <c r="O19" s="53"/>
      <c r="P19" s="53"/>
      <c r="Q19" s="55"/>
    </row>
    <row r="20" spans="1:21">
      <c r="B20" s="55"/>
      <c r="C20" s="56" t="s">
        <v>11</v>
      </c>
      <c r="D20" s="82" t="s">
        <v>163</v>
      </c>
      <c r="E20" s="58" t="s">
        <v>6</v>
      </c>
      <c r="F20" s="58"/>
      <c r="G20" s="58"/>
      <c r="H20" s="58"/>
      <c r="I20" s="58"/>
      <c r="J20" s="58"/>
      <c r="K20" s="58"/>
      <c r="L20" s="106">
        <v>154</v>
      </c>
      <c r="M20" s="58" t="s">
        <v>309</v>
      </c>
      <c r="N20" s="58">
        <v>144</v>
      </c>
      <c r="O20" s="58">
        <v>260</v>
      </c>
      <c r="P20" s="58" t="s">
        <v>319</v>
      </c>
      <c r="Q20" s="55"/>
    </row>
    <row r="21" spans="1:21">
      <c r="A21" s="95"/>
      <c r="B21" s="96"/>
      <c r="C21" s="51" t="s">
        <v>219</v>
      </c>
      <c r="D21" s="80" t="s">
        <v>16</v>
      </c>
      <c r="E21" s="53" t="s">
        <v>6</v>
      </c>
      <c r="F21" s="53">
        <v>180</v>
      </c>
      <c r="G21" s="53"/>
      <c r="H21" s="303"/>
      <c r="I21" s="53"/>
      <c r="J21" s="53"/>
      <c r="K21" s="53"/>
      <c r="L21" s="105">
        <f>AVERAGE(F21:F22)</f>
        <v>233.5</v>
      </c>
      <c r="M21" s="53" t="s">
        <v>308</v>
      </c>
      <c r="N21" s="53"/>
      <c r="O21" s="53"/>
      <c r="P21" s="53"/>
      <c r="Q21" s="96"/>
    </row>
    <row r="22" spans="1:21">
      <c r="A22" s="95"/>
      <c r="B22" s="96"/>
      <c r="C22" s="51"/>
      <c r="D22" s="80" t="s">
        <v>88</v>
      </c>
      <c r="E22" s="196" t="s">
        <v>6</v>
      </c>
      <c r="F22" s="53">
        <v>287</v>
      </c>
      <c r="G22" s="53"/>
      <c r="H22" s="303"/>
      <c r="I22" s="53">
        <v>324</v>
      </c>
      <c r="J22" s="53">
        <v>365</v>
      </c>
      <c r="K22" s="53">
        <v>411</v>
      </c>
      <c r="L22" s="107"/>
      <c r="M22" s="53"/>
      <c r="N22" s="53"/>
      <c r="O22" s="53"/>
      <c r="P22" s="53"/>
      <c r="Q22" s="96"/>
    </row>
    <row r="23" spans="1:21">
      <c r="A23" s="95"/>
      <c r="B23" s="96"/>
      <c r="C23" s="56" t="s">
        <v>218</v>
      </c>
      <c r="D23" s="82" t="s">
        <v>16</v>
      </c>
      <c r="E23" s="58" t="s">
        <v>6</v>
      </c>
      <c r="F23" s="58">
        <v>1777</v>
      </c>
      <c r="G23" s="58"/>
      <c r="H23" s="58"/>
      <c r="I23" s="58"/>
      <c r="J23" s="58"/>
      <c r="K23" s="58"/>
      <c r="L23" s="106">
        <f>F23</f>
        <v>1777</v>
      </c>
      <c r="M23" s="58"/>
      <c r="N23" s="58"/>
      <c r="O23" s="58"/>
      <c r="P23" s="58"/>
      <c r="Q23" s="96"/>
    </row>
    <row r="24" spans="1:21">
      <c r="A24" s="95"/>
      <c r="B24" s="96"/>
      <c r="C24" s="51" t="s">
        <v>217</v>
      </c>
      <c r="D24" s="80" t="s">
        <v>16</v>
      </c>
      <c r="E24" s="53" t="s">
        <v>6</v>
      </c>
      <c r="F24" s="53">
        <v>4000</v>
      </c>
      <c r="G24" s="53"/>
      <c r="H24" s="303"/>
      <c r="I24" s="53"/>
      <c r="J24" s="53"/>
      <c r="K24" s="53"/>
      <c r="L24" s="106">
        <f>F24</f>
        <v>4000</v>
      </c>
      <c r="M24" s="53"/>
      <c r="N24" s="53"/>
      <c r="O24" s="53"/>
      <c r="P24" s="53"/>
      <c r="Q24" s="96"/>
    </row>
    <row r="25" spans="1:21">
      <c r="A25" s="95"/>
      <c r="B25" s="96"/>
      <c r="C25" s="56" t="s">
        <v>220</v>
      </c>
      <c r="D25" s="82" t="s">
        <v>16</v>
      </c>
      <c r="E25" s="58" t="s">
        <v>6</v>
      </c>
      <c r="F25" s="69">
        <v>60.8</v>
      </c>
      <c r="G25" s="69"/>
      <c r="H25" s="69"/>
      <c r="I25" s="58"/>
      <c r="J25" s="58"/>
      <c r="K25" s="58"/>
      <c r="L25" s="105">
        <f>F25</f>
        <v>60.8</v>
      </c>
      <c r="M25" s="58"/>
      <c r="N25" s="58"/>
      <c r="O25" s="58"/>
      <c r="P25" s="58"/>
      <c r="Q25" s="96"/>
    </row>
    <row r="26" spans="1:21">
      <c r="A26" s="95"/>
      <c r="B26" s="96"/>
      <c r="C26" s="51" t="s">
        <v>278</v>
      </c>
      <c r="D26" s="53" t="s">
        <v>162</v>
      </c>
      <c r="E26" s="53" t="s">
        <v>6</v>
      </c>
      <c r="F26" s="331">
        <v>50</v>
      </c>
      <c r="G26" s="331">
        <v>80</v>
      </c>
      <c r="H26" s="331"/>
      <c r="I26" s="331">
        <v>100</v>
      </c>
      <c r="J26" s="331">
        <v>150</v>
      </c>
      <c r="K26" s="331">
        <v>200</v>
      </c>
      <c r="L26" s="108">
        <v>100</v>
      </c>
      <c r="M26" s="197" t="s">
        <v>307</v>
      </c>
      <c r="N26" s="337"/>
      <c r="O26" s="337"/>
      <c r="P26" s="53" t="s">
        <v>318</v>
      </c>
      <c r="Q26" s="96"/>
      <c r="R26" s="98"/>
      <c r="S26" s="98"/>
      <c r="T26" s="98"/>
      <c r="U26" s="98"/>
    </row>
    <row r="27" spans="1:21">
      <c r="A27" s="95"/>
      <c r="B27" s="96"/>
      <c r="C27" s="51"/>
      <c r="D27" s="53"/>
      <c r="E27" s="53"/>
      <c r="F27" s="61"/>
      <c r="G27" s="61"/>
      <c r="H27" s="61"/>
      <c r="I27" s="61"/>
      <c r="J27" s="61"/>
      <c r="K27" s="61"/>
      <c r="L27" s="108"/>
      <c r="M27" s="97"/>
      <c r="N27" s="97"/>
      <c r="O27" s="97"/>
      <c r="P27" s="97"/>
      <c r="Q27" s="96"/>
      <c r="R27" s="98"/>
      <c r="S27" s="98"/>
      <c r="T27" s="98"/>
      <c r="U27" s="98"/>
    </row>
    <row r="28" spans="1:21">
      <c r="A28" s="95"/>
      <c r="B28" s="96"/>
      <c r="C28" s="56" t="s">
        <v>279</v>
      </c>
      <c r="D28" s="58" t="s">
        <v>88</v>
      </c>
      <c r="E28" s="58" t="s">
        <v>6</v>
      </c>
      <c r="F28" s="52">
        <v>16</v>
      </c>
      <c r="G28" s="52"/>
      <c r="H28" s="52"/>
      <c r="I28" s="52"/>
      <c r="J28" s="64"/>
      <c r="K28" s="64"/>
      <c r="L28" s="108"/>
      <c r="M28" s="352" t="s">
        <v>306</v>
      </c>
      <c r="N28" s="99"/>
      <c r="O28" s="99"/>
      <c r="P28" s="99"/>
      <c r="Q28" s="96"/>
      <c r="R28" s="98"/>
      <c r="S28" s="98"/>
      <c r="T28" s="98"/>
      <c r="U28" s="98"/>
    </row>
    <row r="29" spans="1:21">
      <c r="A29" s="95"/>
      <c r="B29" s="96"/>
      <c r="C29" s="51" t="s">
        <v>282</v>
      </c>
      <c r="D29" s="53" t="s">
        <v>136</v>
      </c>
      <c r="E29" s="51"/>
      <c r="F29" s="100">
        <v>0.9</v>
      </c>
      <c r="G29" s="100"/>
      <c r="H29" s="100"/>
      <c r="I29" s="62" t="s">
        <v>66</v>
      </c>
      <c r="J29" s="61"/>
      <c r="K29" s="61"/>
      <c r="L29" s="108"/>
      <c r="M29" s="353" t="s">
        <v>306</v>
      </c>
      <c r="N29" s="97"/>
      <c r="O29" s="97"/>
      <c r="P29" s="97"/>
      <c r="Q29" s="96"/>
      <c r="R29" s="98"/>
      <c r="S29" s="98"/>
      <c r="T29" s="98"/>
      <c r="U29" s="98"/>
    </row>
    <row r="30" spans="1:21">
      <c r="A30" s="95"/>
      <c r="B30" s="96"/>
      <c r="C30" s="56" t="s">
        <v>283</v>
      </c>
      <c r="D30" s="58" t="s">
        <v>88</v>
      </c>
      <c r="E30" s="58"/>
      <c r="F30" s="60">
        <v>0.9</v>
      </c>
      <c r="G30" s="60"/>
      <c r="H30" s="60"/>
      <c r="I30" s="58" t="s">
        <v>67</v>
      </c>
      <c r="J30" s="58"/>
      <c r="K30" s="58"/>
      <c r="L30" s="107"/>
      <c r="M30" s="352" t="s">
        <v>306</v>
      </c>
      <c r="N30" s="99"/>
      <c r="O30" s="99"/>
      <c r="P30" s="99"/>
      <c r="Q30" s="96"/>
      <c r="R30" s="98"/>
      <c r="S30" s="98"/>
      <c r="T30" s="98"/>
      <c r="U30" s="98"/>
    </row>
    <row r="31" spans="1:21">
      <c r="B31" s="53"/>
      <c r="C31" s="83"/>
      <c r="D31" s="83"/>
      <c r="E31" s="83"/>
      <c r="F31" s="83"/>
      <c r="G31" s="83"/>
      <c r="H31" s="83"/>
      <c r="I31" s="83"/>
      <c r="J31" s="83"/>
      <c r="K31" s="83"/>
      <c r="L31" s="83"/>
      <c r="M31" s="83"/>
      <c r="N31" s="83"/>
      <c r="O31" s="83"/>
      <c r="P31" s="83"/>
      <c r="Q31" s="55"/>
    </row>
    <row r="32" spans="1:21">
      <c r="B32" s="53"/>
      <c r="C32" s="51"/>
      <c r="D32" s="51"/>
      <c r="E32" s="53"/>
      <c r="F32" s="53"/>
      <c r="G32" s="53"/>
      <c r="H32" s="303"/>
      <c r="I32" s="53"/>
      <c r="J32" s="53"/>
      <c r="K32" s="53"/>
      <c r="L32" s="53"/>
      <c r="M32" s="53"/>
      <c r="N32" s="53"/>
      <c r="O32" s="53"/>
      <c r="P32" s="53"/>
      <c r="Q32" s="55"/>
    </row>
    <row r="33" spans="2:17">
      <c r="B33" s="53"/>
      <c r="C33" s="84" t="s">
        <v>284</v>
      </c>
      <c r="D33" s="110"/>
      <c r="E33" s="86"/>
      <c r="F33" s="86"/>
      <c r="G33" s="86"/>
      <c r="H33" s="86"/>
      <c r="I33" s="86"/>
      <c r="J33" s="86"/>
      <c r="K33" s="86"/>
      <c r="L33" s="86"/>
      <c r="M33" s="86"/>
      <c r="N33" s="86"/>
      <c r="O33" s="86"/>
      <c r="P33" s="86"/>
      <c r="Q33" s="55"/>
    </row>
    <row r="34" spans="2:17">
      <c r="B34" s="287"/>
      <c r="C34" s="285"/>
      <c r="D34" s="80"/>
      <c r="E34" s="287"/>
      <c r="F34" s="287"/>
      <c r="G34" s="287"/>
      <c r="H34" s="303"/>
      <c r="I34" s="287"/>
      <c r="J34" s="287"/>
      <c r="K34" s="287"/>
      <c r="L34" s="287"/>
      <c r="M34" s="287"/>
      <c r="N34" s="287"/>
      <c r="O34" s="287"/>
      <c r="P34" s="287"/>
      <c r="Q34" s="55"/>
    </row>
    <row r="35" spans="2:17">
      <c r="B35" s="287"/>
      <c r="C35" s="84"/>
      <c r="D35" s="300" t="s">
        <v>205</v>
      </c>
      <c r="E35" s="84" t="s">
        <v>240</v>
      </c>
      <c r="F35" s="86"/>
      <c r="G35" s="86"/>
      <c r="H35" s="86"/>
      <c r="I35" s="86"/>
      <c r="J35" s="86"/>
      <c r="K35" s="86"/>
      <c r="L35" s="163" t="s">
        <v>301</v>
      </c>
      <c r="M35" s="84" t="s">
        <v>303</v>
      </c>
      <c r="N35" s="86"/>
      <c r="O35" s="86"/>
      <c r="P35" s="86"/>
      <c r="Q35" s="55"/>
    </row>
    <row r="36" spans="2:17">
      <c r="B36" s="53"/>
      <c r="C36" s="56" t="s">
        <v>285</v>
      </c>
      <c r="D36" s="82"/>
      <c r="E36" s="58"/>
      <c r="F36" s="58"/>
      <c r="G36" s="58"/>
      <c r="H36" s="58"/>
      <c r="I36" s="58"/>
      <c r="J36" s="58"/>
      <c r="K36" s="58"/>
      <c r="L36" s="107"/>
      <c r="M36" s="58"/>
      <c r="N36" s="58"/>
      <c r="O36" s="58"/>
      <c r="P36" s="58"/>
      <c r="Q36" s="55"/>
    </row>
    <row r="37" spans="2:17">
      <c r="B37" s="53"/>
      <c r="C37" s="58" t="s">
        <v>286</v>
      </c>
      <c r="D37" s="82" t="s">
        <v>16</v>
      </c>
      <c r="E37" s="58" t="s">
        <v>7</v>
      </c>
      <c r="F37" s="58">
        <v>20</v>
      </c>
      <c r="G37" s="58"/>
      <c r="H37" s="58"/>
      <c r="I37" s="58"/>
      <c r="J37" s="58"/>
      <c r="K37" s="58"/>
      <c r="L37" s="108"/>
      <c r="M37" s="58"/>
      <c r="N37" s="58"/>
      <c r="O37" s="58"/>
      <c r="P37" s="58"/>
      <c r="Q37" s="55"/>
    </row>
    <row r="38" spans="2:17">
      <c r="B38" s="53"/>
      <c r="C38" s="58" t="s">
        <v>287</v>
      </c>
      <c r="D38" s="82" t="s">
        <v>16</v>
      </c>
      <c r="E38" s="58" t="s">
        <v>7</v>
      </c>
      <c r="F38" s="58">
        <v>20</v>
      </c>
      <c r="G38" s="58"/>
      <c r="H38" s="58"/>
      <c r="I38" s="58"/>
      <c r="J38" s="58"/>
      <c r="K38" s="58"/>
      <c r="L38" s="108"/>
      <c r="M38" s="58"/>
      <c r="N38" s="58"/>
      <c r="O38" s="58"/>
      <c r="P38" s="58"/>
      <c r="Q38" s="55"/>
    </row>
    <row r="39" spans="2:17">
      <c r="B39" s="53"/>
      <c r="C39" s="58" t="s">
        <v>288</v>
      </c>
      <c r="D39" s="52" t="s">
        <v>116</v>
      </c>
      <c r="E39" s="58" t="s">
        <v>7</v>
      </c>
      <c r="F39" s="56">
        <v>15</v>
      </c>
      <c r="G39" s="56"/>
      <c r="H39" s="56"/>
      <c r="I39" s="58"/>
      <c r="J39" s="58"/>
      <c r="K39" s="58"/>
      <c r="L39" s="108">
        <v>18</v>
      </c>
      <c r="M39" s="58" t="s">
        <v>304</v>
      </c>
      <c r="N39" s="58"/>
      <c r="O39" s="58"/>
      <c r="P39" s="58"/>
      <c r="Q39" s="55"/>
    </row>
    <row r="40" spans="2:17">
      <c r="B40" s="53"/>
      <c r="C40" s="51" t="s">
        <v>231</v>
      </c>
      <c r="D40" s="80" t="s">
        <v>16</v>
      </c>
      <c r="E40" s="53" t="s">
        <v>8</v>
      </c>
      <c r="F40" s="53">
        <v>5</v>
      </c>
      <c r="G40" s="53"/>
      <c r="H40" s="303"/>
      <c r="I40" s="53"/>
      <c r="J40" s="53"/>
      <c r="K40" s="53"/>
      <c r="L40" s="108"/>
      <c r="M40" s="53"/>
      <c r="N40" s="53"/>
      <c r="O40" s="53"/>
      <c r="P40" s="53"/>
      <c r="Q40" s="55"/>
    </row>
    <row r="41" spans="2:17">
      <c r="B41" s="53"/>
      <c r="C41" s="53"/>
      <c r="D41" s="62" t="s">
        <v>116</v>
      </c>
      <c r="E41" s="53" t="s">
        <v>8</v>
      </c>
      <c r="F41" s="51">
        <v>10</v>
      </c>
      <c r="G41" s="125"/>
      <c r="H41" s="336"/>
      <c r="I41" s="53"/>
      <c r="J41" s="53"/>
      <c r="K41" s="53"/>
      <c r="L41" s="108">
        <v>8</v>
      </c>
      <c r="M41" s="58" t="s">
        <v>304</v>
      </c>
      <c r="N41" s="58"/>
      <c r="O41" s="58"/>
      <c r="P41" s="58"/>
      <c r="Q41" s="55"/>
    </row>
    <row r="42" spans="2:17">
      <c r="B42" s="53"/>
      <c r="C42" s="83"/>
      <c r="D42" s="83"/>
      <c r="E42" s="83"/>
      <c r="F42" s="83"/>
      <c r="G42" s="83"/>
      <c r="H42" s="83"/>
      <c r="I42" s="83"/>
      <c r="J42" s="83"/>
      <c r="K42" s="83"/>
      <c r="L42" s="83"/>
      <c r="M42" s="83"/>
      <c r="N42" s="83"/>
      <c r="O42" s="83"/>
      <c r="P42" s="83"/>
      <c r="Q42" s="55"/>
    </row>
    <row r="43" spans="2:17">
      <c r="B43" s="53"/>
      <c r="C43" s="53"/>
      <c r="D43" s="53"/>
      <c r="E43" s="53"/>
      <c r="F43" s="53"/>
      <c r="G43" s="53"/>
      <c r="H43" s="303"/>
      <c r="I43" s="53"/>
      <c r="J43" s="53"/>
      <c r="K43" s="53"/>
      <c r="L43" s="53"/>
      <c r="M43" s="53"/>
      <c r="N43" s="53"/>
      <c r="O43" s="53"/>
      <c r="P43" s="53"/>
      <c r="Q43" s="55"/>
    </row>
    <row r="44" spans="2:17" s="101" customFormat="1">
      <c r="B44" s="125"/>
      <c r="C44" s="125"/>
      <c r="D44" s="125"/>
      <c r="E44" s="125"/>
      <c r="F44" s="125"/>
      <c r="G44" s="125"/>
      <c r="H44" s="336"/>
      <c r="I44" s="125"/>
      <c r="J44" s="125"/>
      <c r="K44" s="125"/>
      <c r="L44" s="295"/>
      <c r="M44" s="125"/>
      <c r="N44" s="125"/>
      <c r="O44" s="125"/>
      <c r="P44" s="125"/>
      <c r="Q44" s="54"/>
    </row>
    <row r="45" spans="2:17" s="101" customFormat="1">
      <c r="B45" s="125"/>
      <c r="C45" s="84" t="s">
        <v>22</v>
      </c>
      <c r="D45" s="84"/>
      <c r="E45" s="84"/>
      <c r="F45" s="84"/>
      <c r="G45" s="84"/>
      <c r="H45" s="84"/>
      <c r="I45" s="84"/>
      <c r="J45" s="84"/>
      <c r="K45" s="84"/>
      <c r="L45" s="299"/>
      <c r="M45" s="84"/>
      <c r="N45" s="84"/>
      <c r="O45" s="84"/>
      <c r="P45" s="84"/>
      <c r="Q45" s="54"/>
    </row>
    <row r="46" spans="2:17">
      <c r="B46" s="53"/>
      <c r="C46" s="53"/>
      <c r="D46" s="53"/>
      <c r="E46" s="53"/>
      <c r="F46" s="53"/>
      <c r="G46" s="53"/>
      <c r="H46" s="303"/>
      <c r="I46" s="53"/>
      <c r="J46" s="53"/>
      <c r="K46" s="53"/>
      <c r="L46" s="53"/>
      <c r="M46" s="53"/>
      <c r="N46" s="53"/>
      <c r="O46" s="53"/>
      <c r="P46" s="53"/>
      <c r="Q46" s="55"/>
    </row>
    <row r="47" spans="2:17">
      <c r="B47" s="53"/>
      <c r="C47" s="51"/>
      <c r="D47" s="285" t="s">
        <v>205</v>
      </c>
      <c r="E47" s="285" t="s">
        <v>240</v>
      </c>
      <c r="F47" s="285" t="s">
        <v>289</v>
      </c>
      <c r="G47" s="285"/>
      <c r="H47" s="336"/>
      <c r="I47" s="285"/>
      <c r="J47" s="285" t="s">
        <v>302</v>
      </c>
      <c r="K47" s="285"/>
      <c r="L47" s="106" t="s">
        <v>301</v>
      </c>
      <c r="M47" s="285" t="s">
        <v>303</v>
      </c>
      <c r="N47" s="53"/>
      <c r="O47" s="53"/>
      <c r="P47" s="53"/>
      <c r="Q47" s="55"/>
    </row>
    <row r="48" spans="2:17" ht="15.6">
      <c r="B48" s="53"/>
      <c r="C48" s="111"/>
      <c r="D48" s="84"/>
      <c r="E48" s="84"/>
      <c r="F48" s="84" t="s">
        <v>38</v>
      </c>
      <c r="G48" s="84" t="s">
        <v>57</v>
      </c>
      <c r="H48" s="84"/>
      <c r="I48" s="84" t="s">
        <v>39</v>
      </c>
      <c r="J48" s="84"/>
      <c r="K48" s="84"/>
      <c r="L48" s="163"/>
      <c r="M48" s="84"/>
      <c r="N48" s="86"/>
      <c r="O48" s="86"/>
      <c r="P48" s="86"/>
      <c r="Q48" s="55"/>
    </row>
    <row r="49" spans="2:17" s="101" customFormat="1">
      <c r="B49" s="51"/>
      <c r="C49" s="56" t="s">
        <v>237</v>
      </c>
      <c r="D49" s="56"/>
      <c r="E49" s="56"/>
      <c r="F49" s="56"/>
      <c r="G49" s="56"/>
      <c r="H49" s="56"/>
      <c r="I49" s="56"/>
      <c r="J49" s="56"/>
      <c r="K49" s="56"/>
      <c r="L49" s="106"/>
      <c r="M49" s="56"/>
      <c r="N49" s="56"/>
      <c r="O49" s="56"/>
      <c r="P49" s="56"/>
      <c r="Q49" s="54"/>
    </row>
    <row r="50" spans="2:17">
      <c r="B50" s="53"/>
      <c r="C50" s="58" t="s">
        <v>291</v>
      </c>
      <c r="D50" s="58" t="s">
        <v>157</v>
      </c>
      <c r="E50" s="58" t="s">
        <v>300</v>
      </c>
      <c r="F50" s="58">
        <v>1.3280000000000001</v>
      </c>
      <c r="G50" s="58">
        <v>1.288</v>
      </c>
      <c r="H50" s="58"/>
      <c r="I50" s="112">
        <f>F50*(1-J50*20)</f>
        <v>1.2746666666666666</v>
      </c>
      <c r="J50" s="58">
        <f>(1-G50/F50)/15</f>
        <v>2.0080321285140591E-3</v>
      </c>
      <c r="K50" s="58"/>
      <c r="L50" s="109">
        <f>I50</f>
        <v>1.2746666666666666</v>
      </c>
      <c r="M50" s="58" t="s">
        <v>305</v>
      </c>
      <c r="N50" s="58"/>
      <c r="O50" s="58"/>
      <c r="P50" s="58"/>
      <c r="Q50" s="55"/>
    </row>
    <row r="51" spans="2:17">
      <c r="B51" s="53"/>
      <c r="C51" s="58" t="s">
        <v>12</v>
      </c>
      <c r="D51" s="58" t="s">
        <v>157</v>
      </c>
      <c r="E51" s="58" t="s">
        <v>299</v>
      </c>
      <c r="F51" s="58">
        <v>0.17100000000000001</v>
      </c>
      <c r="G51" s="58">
        <v>0.157</v>
      </c>
      <c r="H51" s="58"/>
      <c r="I51" s="112">
        <f t="shared" ref="I51:I55" si="0">F51*(1-J51*20)</f>
        <v>0.15233333333333332</v>
      </c>
      <c r="J51" s="58">
        <f t="shared" ref="J51:J55" si="1">(1-G51/F51)/15</f>
        <v>5.4580896686159917E-3</v>
      </c>
      <c r="K51" s="58"/>
      <c r="L51" s="109">
        <f t="shared" ref="L51:L56" si="2">I51</f>
        <v>0.15233333333333332</v>
      </c>
      <c r="M51" s="58" t="s">
        <v>305</v>
      </c>
      <c r="N51" s="58"/>
      <c r="O51" s="58"/>
      <c r="P51" s="58"/>
      <c r="Q51" s="55"/>
    </row>
    <row r="52" spans="2:17">
      <c r="B52" s="53"/>
      <c r="C52" s="58" t="s">
        <v>292</v>
      </c>
      <c r="D52" s="58" t="s">
        <v>157</v>
      </c>
      <c r="E52" s="58" t="s">
        <v>298</v>
      </c>
      <c r="F52" s="58">
        <v>0.28599999999999998</v>
      </c>
      <c r="G52" s="58">
        <v>0.217</v>
      </c>
      <c r="H52" s="58"/>
      <c r="I52" s="112">
        <f t="shared" si="0"/>
        <v>0.19399999999999998</v>
      </c>
      <c r="J52" s="58">
        <f t="shared" si="1"/>
        <v>1.6083916083916083E-2</v>
      </c>
      <c r="K52" s="58"/>
      <c r="L52" s="109">
        <f t="shared" si="2"/>
        <v>0.19399999999999998</v>
      </c>
      <c r="M52" s="58" t="s">
        <v>305</v>
      </c>
      <c r="N52" s="58"/>
      <c r="O52" s="58"/>
      <c r="P52" s="58"/>
      <c r="Q52" s="55"/>
    </row>
    <row r="53" spans="2:17">
      <c r="B53" s="53"/>
      <c r="C53" s="58" t="s">
        <v>293</v>
      </c>
      <c r="D53" s="58" t="s">
        <v>157</v>
      </c>
      <c r="E53" s="58" t="s">
        <v>297</v>
      </c>
      <c r="F53" s="58">
        <v>0.35199999999999998</v>
      </c>
      <c r="G53" s="58">
        <v>0.26800000000000002</v>
      </c>
      <c r="H53" s="58"/>
      <c r="I53" s="112">
        <f t="shared" si="0"/>
        <v>0.24000000000000002</v>
      </c>
      <c r="J53" s="58">
        <f t="shared" si="1"/>
        <v>1.5909090909090904E-2</v>
      </c>
      <c r="K53" s="58"/>
      <c r="L53" s="109">
        <f t="shared" si="2"/>
        <v>0.24000000000000002</v>
      </c>
      <c r="M53" s="58" t="s">
        <v>305</v>
      </c>
      <c r="N53" s="58"/>
      <c r="O53" s="58"/>
      <c r="P53" s="58"/>
      <c r="Q53" s="55"/>
    </row>
    <row r="54" spans="2:17">
      <c r="B54" s="53"/>
      <c r="C54" s="58" t="s">
        <v>294</v>
      </c>
      <c r="D54" s="58" t="s">
        <v>157</v>
      </c>
      <c r="E54" s="58" t="s">
        <v>297</v>
      </c>
      <c r="F54" s="58">
        <v>0.28299999999999997</v>
      </c>
      <c r="G54" s="58">
        <v>0.215</v>
      </c>
      <c r="H54" s="58"/>
      <c r="I54" s="112">
        <f t="shared" si="0"/>
        <v>0.19233333333333333</v>
      </c>
      <c r="J54" s="58">
        <f t="shared" si="1"/>
        <v>1.6018845700824496E-2</v>
      </c>
      <c r="K54" s="58"/>
      <c r="L54" s="109">
        <f t="shared" si="2"/>
        <v>0.19233333333333333</v>
      </c>
      <c r="M54" s="58" t="s">
        <v>305</v>
      </c>
      <c r="N54" s="58"/>
      <c r="O54" s="58"/>
      <c r="P54" s="58"/>
      <c r="Q54" s="55"/>
    </row>
    <row r="55" spans="2:17">
      <c r="B55" s="53"/>
      <c r="C55" s="58" t="s">
        <v>295</v>
      </c>
      <c r="D55" s="58" t="s">
        <v>157</v>
      </c>
      <c r="E55" s="58" t="s">
        <v>23</v>
      </c>
      <c r="F55" s="58">
        <f>0.0561*3.6</f>
        <v>0.20196</v>
      </c>
      <c r="G55" s="58">
        <f>42.6*3.6/1000</f>
        <v>0.15336000000000002</v>
      </c>
      <c r="H55" s="58"/>
      <c r="I55" s="112">
        <f t="shared" si="0"/>
        <v>0.13716000000000003</v>
      </c>
      <c r="J55" s="58">
        <f t="shared" si="1"/>
        <v>1.6042780748663093E-2</v>
      </c>
      <c r="K55" s="58"/>
      <c r="L55" s="109">
        <f t="shared" si="2"/>
        <v>0.13716000000000003</v>
      </c>
      <c r="M55" s="58" t="s">
        <v>305</v>
      </c>
      <c r="N55" s="58"/>
      <c r="O55" s="58"/>
      <c r="P55" s="58"/>
      <c r="Q55" s="55"/>
    </row>
    <row r="56" spans="2:17">
      <c r="B56" s="53"/>
      <c r="C56" s="58" t="s">
        <v>296</v>
      </c>
      <c r="D56" s="58" t="s">
        <v>157</v>
      </c>
      <c r="E56" s="58" t="s">
        <v>60</v>
      </c>
      <c r="F56" s="58">
        <v>0.97</v>
      </c>
      <c r="G56" s="58">
        <v>0.97</v>
      </c>
      <c r="H56" s="58"/>
      <c r="I56" s="58">
        <v>0.97</v>
      </c>
      <c r="J56" s="58"/>
      <c r="K56" s="58"/>
      <c r="L56" s="109">
        <f t="shared" si="2"/>
        <v>0.97</v>
      </c>
      <c r="M56" s="58"/>
      <c r="N56" s="58"/>
      <c r="O56" s="58"/>
      <c r="P56" s="58"/>
      <c r="Q56" s="55"/>
    </row>
    <row r="57" spans="2:17">
      <c r="B57" s="53"/>
      <c r="C57" s="53"/>
      <c r="D57" s="53"/>
      <c r="E57" s="53"/>
      <c r="F57" s="53"/>
      <c r="G57" s="53"/>
      <c r="H57" s="303"/>
      <c r="I57" s="53"/>
      <c r="J57" s="53"/>
      <c r="K57" s="53"/>
      <c r="L57" s="257"/>
      <c r="M57" s="53"/>
      <c r="N57" s="53"/>
      <c r="O57" s="53"/>
      <c r="P57" s="53"/>
      <c r="Q57" s="55"/>
    </row>
  </sheetData>
  <sheetProtection algorithmName="SHA-512" hashValue="fUfxbuHGZb80cizB7ppiMSFN7tNla2vf3t2jjqMjLhxiew+B34ANMb4MQ2AQ65ceI4L+KI59vzP1VXsnt0jzDg==" saltValue="jK7/sVAD/yogPlBidCFgMg==" spinCount="100000" sheet="1" objects="1" scenarios="1"/>
  <mergeCells count="2">
    <mergeCell ref="F7:K7"/>
    <mergeCell ref="N7:P7"/>
  </mergeCells>
  <phoneticPr fontId="39" type="noConversion"/>
  <pageMargins left="0.7" right="0.7" top="0.75" bottom="0.75" header="0.3" footer="0.3"/>
  <pageSetup orientation="portrait" verticalDpi="601" r:id="rId1"/>
  <ignoredErrors>
    <ignoredError sqref="L2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183"/>
  <sheetViews>
    <sheetView zoomScale="70" zoomScaleNormal="70" workbookViewId="0">
      <pane ySplit="6" topLeftCell="A7" activePane="bottomLeft" state="frozen"/>
      <selection pane="bottomLeft"/>
    </sheetView>
  </sheetViews>
  <sheetFormatPr baseColWidth="10" defaultColWidth="10.19921875" defaultRowHeight="13.2"/>
  <cols>
    <col min="1" max="2" width="3" style="1" customWidth="1"/>
    <col min="3" max="3" width="40.19921875" style="70" bestFit="1" customWidth="1"/>
    <col min="4" max="4" width="30.19921875" style="70" bestFit="1" customWidth="1"/>
    <col min="5" max="5" width="29.69921875" style="70" bestFit="1" customWidth="1"/>
    <col min="6" max="6" width="6.69921875" style="70" bestFit="1" customWidth="1"/>
    <col min="7" max="7" width="42.19921875" style="147" bestFit="1" customWidth="1"/>
    <col min="8" max="8" width="3" style="1" customWidth="1"/>
    <col min="9" max="9" width="52.69921875" style="1" customWidth="1"/>
    <col min="10" max="10" width="10.19921875" style="1"/>
    <col min="11" max="11" width="10.19921875" style="1" customWidth="1"/>
    <col min="12" max="16384" width="10.19921875" style="1"/>
  </cols>
  <sheetData>
    <row r="2" spans="2:20">
      <c r="B2" s="22"/>
      <c r="C2" s="55"/>
      <c r="D2" s="55"/>
      <c r="E2" s="55"/>
      <c r="F2" s="55"/>
      <c r="G2" s="133"/>
      <c r="H2" s="22"/>
    </row>
    <row r="3" spans="2:20" ht="17.399999999999999">
      <c r="B3" s="22"/>
      <c r="C3" s="261" t="s">
        <v>324</v>
      </c>
      <c r="D3" s="55"/>
      <c r="E3" s="55"/>
      <c r="F3" s="55"/>
      <c r="G3" s="133"/>
      <c r="H3" s="22"/>
    </row>
    <row r="4" spans="2:20" ht="17.399999999999999">
      <c r="B4" s="22"/>
      <c r="C4" s="71"/>
      <c r="D4" s="55"/>
      <c r="E4" s="55"/>
      <c r="F4" s="55"/>
      <c r="G4" s="133"/>
      <c r="H4" s="22"/>
    </row>
    <row r="5" spans="2:20" ht="55.5" customHeight="1">
      <c r="B5" s="22"/>
      <c r="C5" s="359" t="s">
        <v>330</v>
      </c>
      <c r="D5" s="370"/>
      <c r="E5" s="370"/>
      <c r="F5" s="370"/>
      <c r="G5" s="370"/>
      <c r="H5" s="22"/>
    </row>
    <row r="6" spans="2:20" ht="14.7" customHeight="1" thickBot="1">
      <c r="B6" s="22"/>
      <c r="C6" s="61"/>
      <c r="D6" s="53"/>
      <c r="E6" s="53"/>
      <c r="F6" s="53"/>
      <c r="G6" s="134"/>
      <c r="H6" s="22"/>
    </row>
    <row r="7" spans="2:20" ht="13.8" thickTop="1">
      <c r="B7" s="22"/>
      <c r="C7" s="87"/>
      <c r="D7" s="87"/>
      <c r="E7" s="87"/>
      <c r="F7" s="87"/>
      <c r="G7" s="135"/>
      <c r="H7" s="22"/>
      <c r="I7" s="33"/>
      <c r="J7" s="33"/>
      <c r="K7" s="33"/>
      <c r="L7" s="33"/>
      <c r="M7" s="33"/>
      <c r="N7" s="33"/>
      <c r="O7" s="33"/>
      <c r="P7" s="33"/>
      <c r="Q7" s="33"/>
      <c r="R7" s="33"/>
      <c r="S7" s="33"/>
      <c r="T7" s="33"/>
    </row>
    <row r="8" spans="2:20">
      <c r="B8" s="22"/>
      <c r="C8" s="53"/>
      <c r="D8" s="53"/>
      <c r="E8" s="53"/>
      <c r="F8" s="53"/>
      <c r="G8" s="134"/>
      <c r="H8" s="22"/>
      <c r="I8" s="33"/>
      <c r="J8" s="33"/>
      <c r="K8" s="33"/>
      <c r="L8" s="33"/>
      <c r="M8" s="33"/>
      <c r="N8" s="33"/>
      <c r="O8" s="33"/>
      <c r="P8" s="33"/>
      <c r="Q8" s="33"/>
      <c r="R8" s="33"/>
      <c r="S8" s="33"/>
      <c r="T8" s="33"/>
    </row>
    <row r="9" spans="2:20" ht="15.6">
      <c r="B9" s="22"/>
      <c r="C9" s="72" t="s">
        <v>325</v>
      </c>
      <c r="D9" s="55"/>
      <c r="E9" s="55"/>
      <c r="F9" s="55"/>
      <c r="G9" s="133"/>
      <c r="H9" s="22"/>
    </row>
    <row r="10" spans="2:20" ht="15.6">
      <c r="B10" s="22"/>
      <c r="C10" s="72"/>
      <c r="D10" s="55"/>
      <c r="E10" s="55"/>
      <c r="F10" s="55"/>
      <c r="G10" s="133"/>
      <c r="H10" s="22"/>
    </row>
    <row r="11" spans="2:20">
      <c r="B11" s="22"/>
      <c r="C11" s="55"/>
      <c r="D11" s="55"/>
      <c r="E11" s="55"/>
      <c r="F11" s="55"/>
      <c r="G11" s="133"/>
      <c r="H11" s="22"/>
    </row>
    <row r="12" spans="2:20" ht="15.6">
      <c r="B12" s="22"/>
      <c r="C12" s="51" t="s">
        <v>334</v>
      </c>
      <c r="D12" s="51"/>
      <c r="E12" s="51"/>
      <c r="F12" s="51"/>
      <c r="G12" s="129"/>
      <c r="H12" s="22"/>
    </row>
    <row r="13" spans="2:20">
      <c r="B13" s="22"/>
      <c r="C13" s="83"/>
      <c r="D13" s="83"/>
      <c r="E13" s="83"/>
      <c r="F13" s="83"/>
      <c r="G13" s="136"/>
      <c r="H13" s="22"/>
      <c r="I13" s="37"/>
    </row>
    <row r="14" spans="2:20">
      <c r="B14" s="22"/>
      <c r="C14" s="237" t="s">
        <v>326</v>
      </c>
      <c r="D14" s="237" t="s">
        <v>205</v>
      </c>
      <c r="E14" s="237" t="s">
        <v>327</v>
      </c>
      <c r="F14" s="237" t="s">
        <v>328</v>
      </c>
      <c r="G14" s="238" t="s">
        <v>303</v>
      </c>
      <c r="H14" s="22"/>
    </row>
    <row r="15" spans="2:20">
      <c r="B15" s="22"/>
      <c r="C15" s="84"/>
      <c r="D15" s="85"/>
      <c r="E15" s="86"/>
      <c r="F15" s="86"/>
      <c r="G15" s="137"/>
      <c r="H15" s="22"/>
    </row>
    <row r="16" spans="2:20">
      <c r="B16" s="22"/>
      <c r="C16" s="56" t="s">
        <v>329</v>
      </c>
      <c r="D16" s="57"/>
      <c r="E16" s="58"/>
      <c r="F16" s="58"/>
      <c r="G16" s="131"/>
      <c r="H16" s="22"/>
    </row>
    <row r="17" spans="1:9">
      <c r="B17" s="22"/>
      <c r="C17" s="52" t="s">
        <v>11</v>
      </c>
      <c r="D17" s="58" t="s">
        <v>116</v>
      </c>
      <c r="E17" s="58" t="s">
        <v>335</v>
      </c>
      <c r="F17" s="59">
        <v>0.27</v>
      </c>
      <c r="G17" s="131" t="s">
        <v>336</v>
      </c>
      <c r="H17" s="22"/>
    </row>
    <row r="18" spans="1:9">
      <c r="B18" s="22"/>
      <c r="C18" s="52" t="s">
        <v>331</v>
      </c>
      <c r="D18" s="58" t="s">
        <v>116</v>
      </c>
      <c r="E18" s="58" t="s">
        <v>335</v>
      </c>
      <c r="F18" s="60">
        <v>0.14000000000000001</v>
      </c>
      <c r="G18" s="131" t="s">
        <v>337</v>
      </c>
      <c r="H18" s="22"/>
    </row>
    <row r="19" spans="1:9">
      <c r="B19" s="22"/>
      <c r="C19" s="52" t="s">
        <v>12</v>
      </c>
      <c r="D19" s="58" t="s">
        <v>116</v>
      </c>
      <c r="E19" s="58" t="s">
        <v>335</v>
      </c>
      <c r="F19" s="60">
        <v>0.59</v>
      </c>
      <c r="G19" s="131" t="s">
        <v>337</v>
      </c>
      <c r="H19" s="22"/>
    </row>
    <row r="20" spans="1:9">
      <c r="A20" s="28"/>
      <c r="B20" s="21"/>
      <c r="C20" s="278" t="s">
        <v>214</v>
      </c>
      <c r="D20" s="218" t="s">
        <v>145</v>
      </c>
      <c r="E20" s="55" t="s">
        <v>1</v>
      </c>
      <c r="F20" s="214">
        <v>1.39</v>
      </c>
      <c r="G20" s="276"/>
      <c r="H20" s="272"/>
    </row>
    <row r="21" spans="1:9">
      <c r="A21" s="28"/>
      <c r="B21" s="21"/>
      <c r="C21" s="54"/>
      <c r="D21" s="55" t="s">
        <v>129</v>
      </c>
      <c r="E21" s="55" t="s">
        <v>1</v>
      </c>
      <c r="F21" s="97">
        <v>1.37</v>
      </c>
      <c r="G21" s="276"/>
      <c r="H21" s="21"/>
    </row>
    <row r="22" spans="1:9">
      <c r="A22" s="28"/>
      <c r="B22" s="21"/>
      <c r="C22" s="54"/>
      <c r="D22" s="218" t="s">
        <v>135</v>
      </c>
      <c r="E22" s="55" t="s">
        <v>1</v>
      </c>
      <c r="F22" s="274">
        <v>1.41204</v>
      </c>
      <c r="G22" s="277"/>
      <c r="H22" s="21"/>
    </row>
    <row r="23" spans="1:9">
      <c r="A23" s="28"/>
      <c r="B23" s="21"/>
      <c r="C23" s="53"/>
      <c r="D23" s="61" t="s">
        <v>375</v>
      </c>
      <c r="E23" s="62" t="s">
        <v>1</v>
      </c>
      <c r="F23" s="63">
        <f>AVERAGE(F20:F22)</f>
        <v>1.3906799999999999</v>
      </c>
      <c r="G23" s="134"/>
      <c r="H23" s="21"/>
    </row>
    <row r="24" spans="1:9">
      <c r="A24" s="28"/>
      <c r="B24" s="21"/>
      <c r="C24" s="56" t="s">
        <v>332</v>
      </c>
      <c r="D24" s="64" t="s">
        <v>145</v>
      </c>
      <c r="E24" s="58" t="s">
        <v>1</v>
      </c>
      <c r="F24" s="65">
        <v>0.56000000000000005</v>
      </c>
      <c r="G24" s="268"/>
      <c r="H24" s="272"/>
    </row>
    <row r="25" spans="1:9">
      <c r="A25" s="28"/>
      <c r="B25" s="21"/>
      <c r="C25" s="51" t="s">
        <v>210</v>
      </c>
      <c r="D25" s="61" t="s">
        <v>18</v>
      </c>
      <c r="E25" s="53" t="s">
        <v>31</v>
      </c>
      <c r="F25" s="63">
        <f>552/0.903</f>
        <v>611.29568106312286</v>
      </c>
      <c r="G25" s="134" t="s">
        <v>338</v>
      </c>
      <c r="H25" s="21"/>
    </row>
    <row r="26" spans="1:9">
      <c r="A26" s="28"/>
      <c r="B26" s="21"/>
      <c r="C26" s="56" t="s">
        <v>277</v>
      </c>
      <c r="D26" s="52" t="s">
        <v>135</v>
      </c>
      <c r="E26" s="58" t="s">
        <v>1</v>
      </c>
      <c r="F26" s="275">
        <v>0.13</v>
      </c>
      <c r="G26" s="270"/>
      <c r="H26" s="21"/>
    </row>
    <row r="27" spans="1:9">
      <c r="A27" s="28"/>
      <c r="B27" s="21"/>
      <c r="C27" s="56"/>
      <c r="D27" s="52" t="s">
        <v>145</v>
      </c>
      <c r="E27" s="58" t="s">
        <v>1</v>
      </c>
      <c r="F27" s="275">
        <v>0.14000000000000001</v>
      </c>
      <c r="G27" s="270"/>
      <c r="H27" s="272"/>
    </row>
    <row r="28" spans="1:9">
      <c r="B28" s="22"/>
      <c r="C28" s="58"/>
      <c r="D28" s="52" t="s">
        <v>32</v>
      </c>
      <c r="E28" s="58" t="s">
        <v>1</v>
      </c>
      <c r="F28" s="275">
        <v>0.22500000000000001</v>
      </c>
      <c r="G28" s="131" t="s">
        <v>96</v>
      </c>
      <c r="H28" s="22"/>
    </row>
    <row r="29" spans="1:9">
      <c r="B29" s="22"/>
      <c r="C29" s="58"/>
      <c r="D29" s="64" t="s">
        <v>375</v>
      </c>
      <c r="E29" s="58" t="s">
        <v>1</v>
      </c>
      <c r="F29" s="65">
        <f>AVERAGE(F26:F28)</f>
        <v>0.16500000000000001</v>
      </c>
      <c r="G29" s="131"/>
      <c r="H29" s="22"/>
    </row>
    <row r="30" spans="1:9">
      <c r="B30" s="22"/>
      <c r="C30" s="51" t="s">
        <v>220</v>
      </c>
      <c r="D30" s="61" t="s">
        <v>18</v>
      </c>
      <c r="E30" s="53" t="s">
        <v>1</v>
      </c>
      <c r="F30" s="61">
        <v>0.18</v>
      </c>
      <c r="G30" s="273"/>
      <c r="H30" s="22"/>
    </row>
    <row r="31" spans="1:9" ht="13.5" customHeight="1">
      <c r="B31" s="22"/>
      <c r="C31" s="64" t="s">
        <v>333</v>
      </c>
      <c r="D31" s="52" t="s">
        <v>145</v>
      </c>
      <c r="E31" s="58" t="s">
        <v>1</v>
      </c>
      <c r="F31" s="275">
        <v>0.28599999999999998</v>
      </c>
      <c r="G31" s="269"/>
      <c r="H31" s="273"/>
      <c r="I31" s="33"/>
    </row>
    <row r="32" spans="1:9" ht="13.5" customHeight="1">
      <c r="B32" s="22"/>
      <c r="C32" s="56"/>
      <c r="D32" s="52" t="s">
        <v>129</v>
      </c>
      <c r="E32" s="58" t="s">
        <v>1</v>
      </c>
      <c r="F32" s="52">
        <v>0.27</v>
      </c>
      <c r="G32" s="131"/>
      <c r="H32" s="22"/>
      <c r="I32" s="33"/>
    </row>
    <row r="33" spans="2:9" ht="13.5" customHeight="1">
      <c r="B33" s="22"/>
      <c r="C33" s="56"/>
      <c r="D33" s="64" t="s">
        <v>375</v>
      </c>
      <c r="E33" s="58" t="s">
        <v>1</v>
      </c>
      <c r="F33" s="65">
        <f>AVERAGE(F31:F32)</f>
        <v>0.27800000000000002</v>
      </c>
      <c r="G33" s="131"/>
      <c r="H33" s="22"/>
      <c r="I33" s="33"/>
    </row>
    <row r="34" spans="2:9" ht="13.5" customHeight="1">
      <c r="B34" s="22"/>
      <c r="C34" s="51" t="s">
        <v>219</v>
      </c>
      <c r="D34" s="62" t="s">
        <v>129</v>
      </c>
      <c r="E34" s="53" t="s">
        <v>1</v>
      </c>
      <c r="F34" s="66">
        <v>0.125</v>
      </c>
      <c r="G34" s="134"/>
      <c r="H34" s="22"/>
    </row>
    <row r="35" spans="2:9" ht="13.5" customHeight="1">
      <c r="B35" s="22"/>
      <c r="C35" s="51"/>
      <c r="D35" s="62" t="s">
        <v>135</v>
      </c>
      <c r="E35" s="53" t="s">
        <v>1</v>
      </c>
      <c r="F35" s="62">
        <v>0.21</v>
      </c>
      <c r="G35" s="134"/>
      <c r="H35" s="22"/>
    </row>
    <row r="36" spans="2:9" ht="13.5" customHeight="1">
      <c r="B36" s="22"/>
      <c r="C36" s="53"/>
      <c r="D36" s="62" t="s">
        <v>97</v>
      </c>
      <c r="E36" s="53" t="s">
        <v>1</v>
      </c>
      <c r="F36" s="62">
        <v>0.25</v>
      </c>
      <c r="G36" s="134" t="s">
        <v>96</v>
      </c>
      <c r="H36" s="22"/>
    </row>
    <row r="37" spans="2:9" ht="13.5" customHeight="1">
      <c r="B37" s="22"/>
      <c r="C37" s="53"/>
      <c r="D37" s="62" t="s">
        <v>145</v>
      </c>
      <c r="E37" s="53" t="s">
        <v>1</v>
      </c>
      <c r="F37" s="62">
        <v>0.19</v>
      </c>
      <c r="G37" s="263"/>
      <c r="H37" s="273"/>
      <c r="I37" s="33"/>
    </row>
    <row r="38" spans="2:9" ht="13.5" customHeight="1">
      <c r="B38" s="22"/>
      <c r="C38" s="53"/>
      <c r="D38" s="61" t="s">
        <v>375</v>
      </c>
      <c r="E38" s="53" t="s">
        <v>1</v>
      </c>
      <c r="F38" s="63">
        <f>AVERAGE(F34:F37)</f>
        <v>0.19374999999999998</v>
      </c>
      <c r="G38" s="134"/>
      <c r="H38" s="22"/>
      <c r="I38" s="33"/>
    </row>
    <row r="39" spans="2:9" ht="15.6">
      <c r="B39" s="22"/>
      <c r="C39" s="56" t="s">
        <v>234</v>
      </c>
      <c r="D39" s="64" t="s">
        <v>34</v>
      </c>
      <c r="E39" s="56" t="s">
        <v>1</v>
      </c>
      <c r="F39" s="64">
        <v>1.71</v>
      </c>
      <c r="G39" s="138"/>
      <c r="H39" s="22"/>
      <c r="I39" s="37"/>
    </row>
    <row r="40" spans="2:9">
      <c r="B40" s="22"/>
      <c r="C40" s="83"/>
      <c r="D40" s="83"/>
      <c r="E40" s="83"/>
      <c r="F40" s="83"/>
      <c r="G40" s="139"/>
      <c r="H40" s="22"/>
    </row>
    <row r="41" spans="2:9">
      <c r="B41" s="22"/>
      <c r="C41" s="53"/>
      <c r="D41" s="53"/>
      <c r="E41" s="53"/>
      <c r="F41" s="53"/>
      <c r="G41" s="134"/>
      <c r="H41" s="22"/>
    </row>
    <row r="42" spans="2:9">
      <c r="B42" s="22"/>
      <c r="C42" s="53"/>
      <c r="D42" s="53"/>
      <c r="E42" s="53"/>
      <c r="F42" s="53"/>
      <c r="G42" s="134"/>
      <c r="H42" s="22"/>
    </row>
    <row r="43" spans="2:9">
      <c r="B43" s="22"/>
      <c r="C43" s="124" t="s">
        <v>247</v>
      </c>
      <c r="D43" s="124"/>
      <c r="E43" s="124"/>
      <c r="F43" s="124"/>
      <c r="G43" s="129"/>
      <c r="H43" s="22"/>
    </row>
    <row r="44" spans="2:9">
      <c r="B44" s="22"/>
      <c r="C44" s="83"/>
      <c r="D44" s="83"/>
      <c r="E44" s="83"/>
      <c r="F44" s="83"/>
      <c r="G44" s="139"/>
      <c r="H44" s="22"/>
    </row>
    <row r="45" spans="2:9">
      <c r="B45" s="22"/>
      <c r="C45" s="347" t="s">
        <v>326</v>
      </c>
      <c r="D45" s="347" t="s">
        <v>205</v>
      </c>
      <c r="E45" s="347" t="s">
        <v>327</v>
      </c>
      <c r="F45" s="347" t="s">
        <v>328</v>
      </c>
      <c r="G45" s="348" t="s">
        <v>303</v>
      </c>
      <c r="H45" s="22"/>
    </row>
    <row r="46" spans="2:9">
      <c r="B46" s="22"/>
      <c r="C46" s="84"/>
      <c r="D46" s="86"/>
      <c r="E46" s="104"/>
      <c r="F46" s="86"/>
      <c r="G46" s="137"/>
      <c r="H46" s="22"/>
    </row>
    <row r="47" spans="2:9" ht="132">
      <c r="B47" s="22"/>
      <c r="C47" s="56" t="s">
        <v>339</v>
      </c>
      <c r="D47" s="64" t="s">
        <v>116</v>
      </c>
      <c r="E47" s="148" t="s">
        <v>95</v>
      </c>
      <c r="F47" s="64">
        <f>SUM(F49:F52)</f>
        <v>170</v>
      </c>
      <c r="G47" s="131" t="s">
        <v>343</v>
      </c>
      <c r="H47" s="22"/>
      <c r="I47" s="37"/>
    </row>
    <row r="48" spans="2:9">
      <c r="B48" s="22"/>
      <c r="C48" s="56" t="s">
        <v>340</v>
      </c>
      <c r="D48" s="58"/>
      <c r="E48" s="58"/>
      <c r="F48" s="58"/>
      <c r="G48" s="131"/>
      <c r="H48" s="22"/>
      <c r="I48" s="37"/>
    </row>
    <row r="49" spans="2:20">
      <c r="B49" s="22"/>
      <c r="C49" s="58" t="s">
        <v>254</v>
      </c>
      <c r="D49" s="56" t="s">
        <v>116</v>
      </c>
      <c r="E49" s="58" t="s">
        <v>95</v>
      </c>
      <c r="F49" s="64">
        <v>17</v>
      </c>
      <c r="G49" s="131"/>
      <c r="H49" s="22"/>
      <c r="I49" s="37"/>
    </row>
    <row r="50" spans="2:20">
      <c r="B50" s="22"/>
      <c r="C50" s="58" t="s">
        <v>253</v>
      </c>
      <c r="D50" s="56" t="s">
        <v>116</v>
      </c>
      <c r="E50" s="58" t="s">
        <v>95</v>
      </c>
      <c r="F50" s="64">
        <v>15</v>
      </c>
      <c r="G50" s="131"/>
      <c r="H50" s="22"/>
      <c r="I50" s="37"/>
    </row>
    <row r="51" spans="2:20">
      <c r="B51" s="22"/>
      <c r="C51" s="58" t="s">
        <v>256</v>
      </c>
      <c r="D51" s="56" t="s">
        <v>116</v>
      </c>
      <c r="E51" s="58" t="s">
        <v>95</v>
      </c>
      <c r="F51" s="64">
        <v>74</v>
      </c>
      <c r="G51" s="131"/>
      <c r="H51" s="22"/>
      <c r="I51" s="37"/>
    </row>
    <row r="52" spans="2:20">
      <c r="B52" s="22"/>
      <c r="C52" s="58" t="s">
        <v>341</v>
      </c>
      <c r="D52" s="56" t="s">
        <v>116</v>
      </c>
      <c r="E52" s="58" t="s">
        <v>95</v>
      </c>
      <c r="F52" s="64">
        <v>64</v>
      </c>
      <c r="G52" s="131"/>
      <c r="H52" s="22"/>
      <c r="I52" s="37"/>
    </row>
    <row r="53" spans="2:20" ht="39.6">
      <c r="B53" s="22"/>
      <c r="C53" s="51" t="s">
        <v>342</v>
      </c>
      <c r="D53" s="53" t="s">
        <v>116</v>
      </c>
      <c r="E53" s="53" t="s">
        <v>95</v>
      </c>
      <c r="F53" s="53">
        <v>429</v>
      </c>
      <c r="G53" s="132" t="s">
        <v>345</v>
      </c>
      <c r="H53" s="22"/>
      <c r="I53" s="37"/>
    </row>
    <row r="54" spans="2:20">
      <c r="B54" s="22"/>
      <c r="C54" s="236" t="s">
        <v>222</v>
      </c>
      <c r="D54" s="53" t="s">
        <v>88</v>
      </c>
      <c r="E54" s="53" t="s">
        <v>95</v>
      </c>
      <c r="F54" s="67">
        <v>0.03</v>
      </c>
      <c r="G54" s="132" t="s">
        <v>344</v>
      </c>
      <c r="H54" s="22"/>
      <c r="I54" s="37"/>
    </row>
    <row r="55" spans="2:20" ht="13.8" thickBot="1">
      <c r="B55" s="22"/>
      <c r="C55" s="236" t="s">
        <v>221</v>
      </c>
      <c r="D55" s="53" t="s">
        <v>88</v>
      </c>
      <c r="E55" s="53" t="s">
        <v>95</v>
      </c>
      <c r="F55" s="68">
        <v>38</v>
      </c>
      <c r="G55" s="132" t="s">
        <v>346</v>
      </c>
      <c r="H55" s="22"/>
      <c r="I55" s="37"/>
    </row>
    <row r="56" spans="2:20" ht="13.8" thickTop="1">
      <c r="B56" s="22"/>
      <c r="C56" s="88"/>
      <c r="D56" s="89"/>
      <c r="E56" s="87"/>
      <c r="F56" s="87"/>
      <c r="G56" s="140"/>
      <c r="H56" s="22"/>
      <c r="I56" s="37"/>
    </row>
    <row r="57" spans="2:20">
      <c r="C57" s="149"/>
      <c r="D57" s="150"/>
      <c r="E57" s="81"/>
      <c r="F57" s="81"/>
      <c r="G57" s="151"/>
      <c r="I57" s="37"/>
    </row>
    <row r="58" spans="2:20">
      <c r="B58" s="22"/>
      <c r="C58" s="53"/>
      <c r="D58" s="53"/>
      <c r="E58" s="53"/>
      <c r="F58" s="53"/>
      <c r="G58" s="134"/>
      <c r="H58" s="22"/>
      <c r="I58" s="33"/>
      <c r="J58" s="33"/>
      <c r="K58" s="33"/>
      <c r="L58" s="33"/>
      <c r="M58" s="33"/>
      <c r="N58" s="33"/>
      <c r="O58" s="33"/>
      <c r="P58" s="33"/>
      <c r="Q58" s="33"/>
      <c r="R58" s="33"/>
      <c r="S58" s="33"/>
      <c r="T58" s="33"/>
    </row>
    <row r="59" spans="2:20">
      <c r="B59" s="22"/>
      <c r="C59" s="53"/>
      <c r="D59" s="53"/>
      <c r="E59" s="53"/>
      <c r="F59" s="53"/>
      <c r="G59" s="134"/>
      <c r="H59" s="22"/>
      <c r="I59" s="33"/>
      <c r="J59" s="33"/>
      <c r="K59" s="33"/>
      <c r="L59" s="33"/>
      <c r="M59" s="33"/>
      <c r="N59" s="33"/>
      <c r="O59" s="33"/>
      <c r="P59" s="33"/>
      <c r="Q59" s="33"/>
      <c r="R59" s="33"/>
      <c r="S59" s="33"/>
      <c r="T59" s="33"/>
    </row>
    <row r="60" spans="2:20" ht="15.6">
      <c r="B60" s="38"/>
      <c r="C60" s="73" t="s">
        <v>14</v>
      </c>
      <c r="D60" s="53"/>
      <c r="E60" s="53"/>
      <c r="F60" s="53"/>
      <c r="G60" s="134"/>
      <c r="H60" s="22"/>
    </row>
    <row r="61" spans="2:20">
      <c r="B61" s="22"/>
      <c r="C61" s="55"/>
      <c r="D61" s="54"/>
      <c r="E61" s="55"/>
      <c r="F61" s="55"/>
      <c r="G61" s="133"/>
      <c r="H61" s="22"/>
      <c r="J61" s="33"/>
      <c r="K61" s="33"/>
      <c r="L61" s="33"/>
      <c r="M61" s="33"/>
      <c r="N61" s="33"/>
      <c r="O61" s="33"/>
      <c r="P61" s="33"/>
      <c r="Q61" s="33"/>
      <c r="R61" s="33"/>
      <c r="S61" s="33"/>
      <c r="T61" s="33"/>
    </row>
    <row r="62" spans="2:20">
      <c r="B62" s="22"/>
      <c r="C62" s="55"/>
      <c r="D62" s="54"/>
      <c r="E62" s="55"/>
      <c r="F62" s="55"/>
      <c r="G62" s="133"/>
      <c r="H62" s="22"/>
      <c r="J62" s="33"/>
      <c r="K62" s="33"/>
      <c r="L62" s="33"/>
      <c r="M62" s="33"/>
      <c r="N62" s="33"/>
      <c r="O62" s="33"/>
      <c r="P62" s="33"/>
      <c r="Q62" s="33"/>
      <c r="R62" s="33"/>
      <c r="S62" s="33"/>
      <c r="T62" s="33"/>
    </row>
    <row r="63" spans="2:20" ht="15.6">
      <c r="B63" s="22"/>
      <c r="C63" s="51" t="s">
        <v>334</v>
      </c>
      <c r="D63" s="51"/>
      <c r="E63" s="51"/>
      <c r="F63" s="51"/>
      <c r="G63" s="129"/>
      <c r="H63" s="22"/>
    </row>
    <row r="64" spans="2:20">
      <c r="B64" s="22"/>
      <c r="C64" s="83"/>
      <c r="D64" s="83"/>
      <c r="E64" s="83"/>
      <c r="F64" s="83"/>
      <c r="G64" s="136"/>
      <c r="H64" s="22"/>
      <c r="I64" s="37"/>
    </row>
    <row r="65" spans="2:8">
      <c r="B65" s="22"/>
      <c r="C65" s="237" t="s">
        <v>326</v>
      </c>
      <c r="D65" s="237" t="s">
        <v>347</v>
      </c>
      <c r="E65" s="237" t="s">
        <v>348</v>
      </c>
      <c r="F65" s="237" t="s">
        <v>328</v>
      </c>
      <c r="G65" s="238" t="s">
        <v>303</v>
      </c>
      <c r="H65" s="22"/>
    </row>
    <row r="66" spans="2:8">
      <c r="B66" s="22"/>
      <c r="C66" s="84"/>
      <c r="D66" s="85"/>
      <c r="E66" s="86"/>
      <c r="F66" s="86"/>
      <c r="G66" s="137"/>
      <c r="H66" s="22"/>
    </row>
    <row r="67" spans="2:8">
      <c r="B67" s="22"/>
      <c r="C67" s="56" t="s">
        <v>349</v>
      </c>
      <c r="D67" s="58" t="s">
        <v>91</v>
      </c>
      <c r="E67" s="58" t="s">
        <v>1</v>
      </c>
      <c r="F67" s="52">
        <v>1.45</v>
      </c>
      <c r="G67" s="131"/>
      <c r="H67" s="22"/>
    </row>
    <row r="68" spans="2:8">
      <c r="B68" s="22"/>
      <c r="C68" s="56"/>
      <c r="D68" s="52" t="s">
        <v>145</v>
      </c>
      <c r="E68" s="52" t="s">
        <v>1</v>
      </c>
      <c r="F68" s="52">
        <v>1.45</v>
      </c>
      <c r="G68" s="269"/>
      <c r="H68" s="22"/>
    </row>
    <row r="69" spans="2:8">
      <c r="B69" s="22"/>
      <c r="C69" s="58"/>
      <c r="D69" s="58" t="s">
        <v>16</v>
      </c>
      <c r="E69" s="58" t="s">
        <v>1</v>
      </c>
      <c r="F69" s="99">
        <v>1.504</v>
      </c>
      <c r="G69" s="143" t="s">
        <v>354</v>
      </c>
      <c r="H69" s="22"/>
    </row>
    <row r="70" spans="2:8">
      <c r="B70" s="22"/>
      <c r="C70" s="58"/>
      <c r="D70" s="58" t="s">
        <v>87</v>
      </c>
      <c r="E70" s="58" t="s">
        <v>1</v>
      </c>
      <c r="F70" s="58">
        <v>1.43</v>
      </c>
      <c r="G70" s="131"/>
      <c r="H70" s="22"/>
    </row>
    <row r="71" spans="2:8">
      <c r="B71" s="22"/>
      <c r="C71" s="58"/>
      <c r="D71" s="56" t="s">
        <v>375</v>
      </c>
      <c r="E71" s="56" t="s">
        <v>1</v>
      </c>
      <c r="F71" s="65">
        <f>AVERAGE(F67:F70)</f>
        <v>1.4584999999999999</v>
      </c>
      <c r="G71" s="131"/>
      <c r="H71" s="22"/>
    </row>
    <row r="72" spans="2:8">
      <c r="B72" s="22"/>
      <c r="C72" s="51" t="s">
        <v>219</v>
      </c>
      <c r="D72" s="51" t="s">
        <v>34</v>
      </c>
      <c r="E72" s="53" t="s">
        <v>1</v>
      </c>
      <c r="F72" s="61">
        <v>0.17</v>
      </c>
      <c r="G72" s="134" t="s">
        <v>355</v>
      </c>
      <c r="H72" s="22"/>
    </row>
    <row r="73" spans="2:8" ht="26.4">
      <c r="B73" s="22"/>
      <c r="C73" s="64" t="s">
        <v>350</v>
      </c>
      <c r="D73" s="56" t="s">
        <v>16</v>
      </c>
      <c r="E73" s="58" t="s">
        <v>1</v>
      </c>
      <c r="F73" s="64">
        <f>50/1000</f>
        <v>0.05</v>
      </c>
      <c r="G73" s="131" t="s">
        <v>356</v>
      </c>
      <c r="H73" s="22"/>
    </row>
    <row r="74" spans="2:8">
      <c r="B74" s="22"/>
      <c r="C74" s="51" t="s">
        <v>218</v>
      </c>
      <c r="D74" s="51" t="s">
        <v>16</v>
      </c>
      <c r="E74" s="53" t="s">
        <v>1</v>
      </c>
      <c r="F74" s="282">
        <f>11/1000</f>
        <v>1.0999999999999999E-2</v>
      </c>
      <c r="G74" s="141" t="s">
        <v>357</v>
      </c>
      <c r="H74" s="22"/>
    </row>
    <row r="75" spans="2:8">
      <c r="B75" s="22"/>
      <c r="C75" s="56" t="s">
        <v>217</v>
      </c>
      <c r="D75" s="56" t="s">
        <v>16</v>
      </c>
      <c r="E75" s="58" t="s">
        <v>1</v>
      </c>
      <c r="F75" s="283">
        <f>2/1000</f>
        <v>2E-3</v>
      </c>
      <c r="G75" s="142"/>
      <c r="H75" s="22"/>
    </row>
    <row r="76" spans="2:8">
      <c r="B76" s="22"/>
      <c r="C76" s="51" t="s">
        <v>220</v>
      </c>
      <c r="D76" s="62" t="s">
        <v>145</v>
      </c>
      <c r="E76" s="53" t="s">
        <v>1</v>
      </c>
      <c r="F76" s="61">
        <v>0.05</v>
      </c>
      <c r="G76" s="273"/>
      <c r="H76" s="22"/>
    </row>
    <row r="77" spans="2:8">
      <c r="B77" s="22"/>
      <c r="C77" s="56" t="s">
        <v>210</v>
      </c>
      <c r="D77" s="58" t="s">
        <v>101</v>
      </c>
      <c r="E77" s="58" t="s">
        <v>4</v>
      </c>
      <c r="F77" s="74">
        <f>9.7*1000/38</f>
        <v>255.26315789473685</v>
      </c>
      <c r="G77" s="143" t="s">
        <v>351</v>
      </c>
      <c r="H77" s="22"/>
    </row>
    <row r="78" spans="2:8">
      <c r="B78" s="22"/>
      <c r="C78" s="56"/>
      <c r="D78" s="58" t="s">
        <v>105</v>
      </c>
      <c r="E78" s="58" t="s">
        <v>4</v>
      </c>
      <c r="F78" s="74">
        <v>259</v>
      </c>
      <c r="G78" s="142"/>
      <c r="H78" s="22"/>
    </row>
    <row r="79" spans="2:8">
      <c r="B79" s="22"/>
      <c r="C79" s="58"/>
      <c r="D79" s="58" t="s">
        <v>109</v>
      </c>
      <c r="E79" s="58" t="s">
        <v>4</v>
      </c>
      <c r="F79" s="52">
        <v>262</v>
      </c>
      <c r="G79" s="144"/>
      <c r="H79" s="22"/>
    </row>
    <row r="80" spans="2:8">
      <c r="B80" s="22"/>
      <c r="C80" s="58"/>
      <c r="D80" s="58" t="s">
        <v>91</v>
      </c>
      <c r="E80" s="58" t="s">
        <v>4</v>
      </c>
      <c r="F80" s="52">
        <f>10*26.4</f>
        <v>264</v>
      </c>
      <c r="G80" s="131" t="s">
        <v>352</v>
      </c>
      <c r="H80" s="22"/>
    </row>
    <row r="81" spans="1:10">
      <c r="B81" s="22"/>
      <c r="C81" s="58"/>
      <c r="D81" s="56" t="s">
        <v>375</v>
      </c>
      <c r="E81" s="58" t="s">
        <v>4</v>
      </c>
      <c r="F81" s="288">
        <f>AVERAGE(F77:F80)</f>
        <v>260.06578947368422</v>
      </c>
      <c r="G81" s="271"/>
      <c r="H81" s="22"/>
    </row>
    <row r="82" spans="1:10">
      <c r="B82" s="22"/>
      <c r="C82" s="51" t="s">
        <v>211</v>
      </c>
      <c r="D82" s="53"/>
      <c r="E82" s="53"/>
      <c r="F82" s="53"/>
      <c r="G82" s="134"/>
      <c r="H82" s="22"/>
    </row>
    <row r="83" spans="1:10">
      <c r="B83" s="22"/>
      <c r="C83" s="53" t="s">
        <v>20</v>
      </c>
      <c r="D83" s="80" t="s">
        <v>143</v>
      </c>
      <c r="E83" s="53" t="s">
        <v>2</v>
      </c>
      <c r="F83" s="196">
        <v>0.08</v>
      </c>
      <c r="G83" s="134" t="s">
        <v>359</v>
      </c>
      <c r="H83" s="22"/>
    </row>
    <row r="84" spans="1:10">
      <c r="B84" s="22"/>
      <c r="C84" s="287"/>
      <c r="D84" s="80" t="s">
        <v>105</v>
      </c>
      <c r="E84" s="287" t="s">
        <v>2</v>
      </c>
      <c r="F84" s="197">
        <f>AVERAGE(80,125)/1000</f>
        <v>0.10249999999999999</v>
      </c>
      <c r="G84" s="284" t="s">
        <v>358</v>
      </c>
      <c r="H84" s="22"/>
    </row>
    <row r="85" spans="1:10">
      <c r="B85" s="22"/>
      <c r="C85" s="287"/>
      <c r="D85" s="61" t="s">
        <v>375</v>
      </c>
      <c r="E85" s="287" t="s">
        <v>2</v>
      </c>
      <c r="F85" s="296">
        <f>AVERAGE(F83:F84)</f>
        <v>9.1249999999999998E-2</v>
      </c>
      <c r="G85" s="284"/>
      <c r="H85" s="22"/>
    </row>
    <row r="86" spans="1:10">
      <c r="B86" s="22"/>
      <c r="C86" s="287"/>
      <c r="D86" s="75"/>
      <c r="E86" s="287"/>
      <c r="F86" s="295"/>
      <c r="G86" s="284"/>
      <c r="H86" s="22"/>
    </row>
    <row r="87" spans="1:10">
      <c r="B87" s="22"/>
      <c r="C87" s="53" t="s">
        <v>21</v>
      </c>
      <c r="D87" s="287" t="s">
        <v>16</v>
      </c>
      <c r="E87" s="53" t="s">
        <v>2</v>
      </c>
      <c r="F87" s="196">
        <v>0.59399999999999997</v>
      </c>
      <c r="G87" s="134" t="s">
        <v>360</v>
      </c>
      <c r="H87" s="22"/>
    </row>
    <row r="88" spans="1:10" s="33" customFormat="1">
      <c r="A88" s="1"/>
      <c r="B88" s="22"/>
      <c r="C88" s="53"/>
      <c r="D88" s="287" t="s">
        <v>16</v>
      </c>
      <c r="E88" s="53" t="s">
        <v>2</v>
      </c>
      <c r="F88" s="196">
        <v>0.159</v>
      </c>
      <c r="G88" s="134" t="s">
        <v>361</v>
      </c>
      <c r="H88" s="22"/>
    </row>
    <row r="89" spans="1:10" s="33" customFormat="1">
      <c r="A89" s="1"/>
      <c r="B89" s="22"/>
      <c r="C89" s="53"/>
      <c r="D89" s="51" t="s">
        <v>376</v>
      </c>
      <c r="E89" s="53" t="s">
        <v>2</v>
      </c>
      <c r="F89" s="295">
        <f>SUM(F87:F88)</f>
        <v>0.753</v>
      </c>
      <c r="G89" s="134"/>
      <c r="H89" s="22"/>
    </row>
    <row r="90" spans="1:10" s="33" customFormat="1">
      <c r="A90" s="1"/>
      <c r="B90" s="22"/>
      <c r="C90" s="303"/>
      <c r="D90" s="301"/>
      <c r="E90" s="303"/>
      <c r="F90" s="295"/>
      <c r="G90" s="302"/>
      <c r="H90" s="22"/>
    </row>
    <row r="91" spans="1:10" s="33" customFormat="1">
      <c r="A91" s="1"/>
      <c r="B91" s="22"/>
      <c r="C91" s="303"/>
      <c r="D91" s="301" t="s">
        <v>377</v>
      </c>
      <c r="E91" s="303" t="s">
        <v>2</v>
      </c>
      <c r="F91" s="296">
        <f>SUM(F85,F87)</f>
        <v>0.68524999999999991</v>
      </c>
      <c r="G91" s="302"/>
      <c r="H91" s="22"/>
    </row>
    <row r="92" spans="1:10" s="33" customFormat="1">
      <c r="A92" s="1"/>
      <c r="B92" s="22"/>
      <c r="C92" s="303"/>
      <c r="D92" s="301" t="s">
        <v>378</v>
      </c>
      <c r="E92" s="303" t="s">
        <v>2</v>
      </c>
      <c r="F92" s="296">
        <f>SUM(F85,F89)</f>
        <v>0.84424999999999994</v>
      </c>
      <c r="G92" s="302"/>
      <c r="H92" s="22"/>
    </row>
    <row r="93" spans="1:10" ht="15.6">
      <c r="B93" s="22"/>
      <c r="C93" s="56" t="s">
        <v>234</v>
      </c>
      <c r="D93" s="58" t="s">
        <v>109</v>
      </c>
      <c r="E93" s="58" t="s">
        <v>1</v>
      </c>
      <c r="F93" s="52">
        <v>0.44500000000000001</v>
      </c>
      <c r="G93" s="138" t="s">
        <v>353</v>
      </c>
      <c r="H93" s="22"/>
      <c r="I93" s="35"/>
    </row>
    <row r="94" spans="1:10">
      <c r="B94" s="22"/>
      <c r="C94" s="58"/>
      <c r="D94" s="58" t="s">
        <v>105</v>
      </c>
      <c r="E94" s="58" t="s">
        <v>1</v>
      </c>
      <c r="F94" s="52">
        <v>0.45300000000000001</v>
      </c>
      <c r="G94" s="138" t="s">
        <v>353</v>
      </c>
      <c r="H94" s="22"/>
      <c r="I94" s="35"/>
    </row>
    <row r="95" spans="1:10">
      <c r="B95" s="22"/>
      <c r="C95" s="58"/>
      <c r="D95" s="58" t="s">
        <v>101</v>
      </c>
      <c r="E95" s="58" t="s">
        <v>1</v>
      </c>
      <c r="F95" s="52">
        <v>0.46</v>
      </c>
      <c r="G95" s="138" t="s">
        <v>353</v>
      </c>
      <c r="H95" s="22"/>
      <c r="I95" s="35"/>
    </row>
    <row r="96" spans="1:10">
      <c r="B96" s="22"/>
      <c r="C96" s="58"/>
      <c r="D96" s="56" t="s">
        <v>379</v>
      </c>
      <c r="E96" s="58" t="s">
        <v>1</v>
      </c>
      <c r="F96" s="76">
        <f>AVERAGE(F93:F95)</f>
        <v>0.45266666666666672</v>
      </c>
      <c r="G96" s="138"/>
      <c r="H96" s="22"/>
      <c r="I96" s="35"/>
      <c r="J96" s="33"/>
    </row>
    <row r="97" spans="2:10">
      <c r="B97" s="22"/>
      <c r="C97" s="58"/>
      <c r="D97" s="58" t="s">
        <v>16</v>
      </c>
      <c r="E97" s="58" t="s">
        <v>1</v>
      </c>
      <c r="F97" s="58">
        <v>5.2999999999999999E-2</v>
      </c>
      <c r="G97" s="131" t="s">
        <v>362</v>
      </c>
      <c r="H97" s="22"/>
      <c r="I97" s="35"/>
      <c r="J97" s="33"/>
    </row>
    <row r="98" spans="2:10">
      <c r="B98" s="22"/>
      <c r="C98" s="58"/>
      <c r="D98" s="56" t="s">
        <v>380</v>
      </c>
      <c r="E98" s="58" t="s">
        <v>1</v>
      </c>
      <c r="F98" s="77">
        <f>SUM(F96:F97)</f>
        <v>0.50566666666666671</v>
      </c>
      <c r="G98" s="131"/>
      <c r="H98" s="22"/>
      <c r="I98" s="35"/>
      <c r="J98" s="33"/>
    </row>
    <row r="99" spans="2:10">
      <c r="B99" s="22"/>
      <c r="C99" s="83"/>
      <c r="D99" s="83"/>
      <c r="E99" s="83"/>
      <c r="F99" s="83"/>
      <c r="G99" s="139"/>
      <c r="H99" s="22"/>
    </row>
    <row r="100" spans="2:10">
      <c r="B100" s="22"/>
      <c r="C100" s="53"/>
      <c r="D100" s="53"/>
      <c r="E100" s="53"/>
      <c r="F100" s="53"/>
      <c r="G100" s="134"/>
      <c r="H100" s="22"/>
    </row>
    <row r="101" spans="2:10">
      <c r="B101" s="22"/>
      <c r="C101" s="53"/>
      <c r="D101" s="53"/>
      <c r="E101" s="53"/>
      <c r="F101" s="53"/>
      <c r="G101" s="134"/>
      <c r="H101" s="22"/>
    </row>
    <row r="102" spans="2:10">
      <c r="B102" s="22"/>
      <c r="C102" s="84" t="s">
        <v>247</v>
      </c>
      <c r="D102" s="84"/>
      <c r="E102" s="84"/>
      <c r="F102" s="84"/>
      <c r="G102" s="130"/>
      <c r="H102" s="22"/>
    </row>
    <row r="103" spans="2:10">
      <c r="B103" s="22"/>
      <c r="C103" s="53"/>
      <c r="D103" s="53"/>
      <c r="E103" s="53"/>
      <c r="F103" s="53"/>
      <c r="G103" s="134"/>
      <c r="H103" s="22"/>
    </row>
    <row r="104" spans="2:10">
      <c r="B104" s="22"/>
      <c r="C104" s="285" t="s">
        <v>326</v>
      </c>
      <c r="D104" s="285" t="s">
        <v>205</v>
      </c>
      <c r="E104" s="285" t="s">
        <v>363</v>
      </c>
      <c r="F104" s="285" t="s">
        <v>328</v>
      </c>
      <c r="G104" s="286" t="s">
        <v>303</v>
      </c>
      <c r="H104" s="22"/>
    </row>
    <row r="105" spans="2:10">
      <c r="B105" s="22"/>
      <c r="C105" s="84"/>
      <c r="D105" s="86"/>
      <c r="E105" s="86"/>
      <c r="F105" s="86"/>
      <c r="G105" s="137"/>
      <c r="H105" s="22"/>
    </row>
    <row r="106" spans="2:10">
      <c r="B106" s="22"/>
      <c r="C106" s="56" t="s">
        <v>62</v>
      </c>
      <c r="D106" s="58"/>
      <c r="E106" s="58"/>
      <c r="F106" s="52"/>
      <c r="G106" s="131"/>
      <c r="H106" s="22"/>
      <c r="J106" s="36"/>
    </row>
    <row r="107" spans="2:10" ht="39.6">
      <c r="B107" s="22"/>
      <c r="C107" s="58" t="s">
        <v>364</v>
      </c>
      <c r="D107" s="56" t="s">
        <v>116</v>
      </c>
      <c r="E107" s="58" t="s">
        <v>95</v>
      </c>
      <c r="F107" s="64">
        <f>SUM(F109:F110)</f>
        <v>414</v>
      </c>
      <c r="G107" s="131" t="s">
        <v>368</v>
      </c>
      <c r="H107" s="22"/>
    </row>
    <row r="108" spans="2:10">
      <c r="B108" s="22"/>
      <c r="C108" s="58" t="s">
        <v>340</v>
      </c>
      <c r="D108" s="56"/>
      <c r="E108" s="58"/>
      <c r="F108" s="64"/>
      <c r="G108" s="131"/>
      <c r="H108" s="22"/>
    </row>
    <row r="109" spans="2:10">
      <c r="B109" s="22"/>
      <c r="C109" s="58" t="s">
        <v>265</v>
      </c>
      <c r="D109" s="56" t="s">
        <v>116</v>
      </c>
      <c r="E109" s="58" t="s">
        <v>95</v>
      </c>
      <c r="F109" s="64">
        <v>230</v>
      </c>
      <c r="G109" s="131"/>
      <c r="H109" s="22"/>
    </row>
    <row r="110" spans="2:10">
      <c r="B110" s="22"/>
      <c r="C110" s="58" t="s">
        <v>5</v>
      </c>
      <c r="D110" s="56" t="s">
        <v>116</v>
      </c>
      <c r="E110" s="58" t="s">
        <v>95</v>
      </c>
      <c r="F110" s="64">
        <v>184</v>
      </c>
      <c r="G110" s="131"/>
      <c r="H110" s="22"/>
    </row>
    <row r="111" spans="2:10" ht="26.4">
      <c r="B111" s="22"/>
      <c r="C111" s="58" t="s">
        <v>365</v>
      </c>
      <c r="D111" s="58"/>
      <c r="E111" s="58" t="s">
        <v>367</v>
      </c>
      <c r="F111" s="64">
        <v>1.8</v>
      </c>
      <c r="G111" s="138" t="s">
        <v>369</v>
      </c>
      <c r="H111" s="22"/>
    </row>
    <row r="112" spans="2:10" ht="26.4">
      <c r="B112" s="22"/>
      <c r="C112" s="58" t="s">
        <v>366</v>
      </c>
      <c r="D112" s="58"/>
      <c r="E112" s="58" t="s">
        <v>367</v>
      </c>
      <c r="F112" s="56">
        <v>1.8</v>
      </c>
      <c r="G112" s="138" t="s">
        <v>369</v>
      </c>
      <c r="H112" s="22"/>
      <c r="I112" s="37"/>
    </row>
    <row r="113" spans="2:9" ht="13.8" thickBot="1">
      <c r="B113" s="22"/>
      <c r="C113" s="93" t="s">
        <v>268</v>
      </c>
      <c r="D113" s="93"/>
      <c r="E113" s="93" t="s">
        <v>8</v>
      </c>
      <c r="F113" s="93">
        <v>90</v>
      </c>
      <c r="G113" s="93" t="s">
        <v>370</v>
      </c>
      <c r="H113" s="22"/>
    </row>
    <row r="114" spans="2:9" ht="13.8" thickTop="1">
      <c r="B114" s="22"/>
      <c r="C114" s="51"/>
      <c r="D114" s="53"/>
      <c r="E114" s="53"/>
      <c r="F114" s="51"/>
      <c r="G114" s="145"/>
      <c r="H114" s="22"/>
      <c r="I114" s="37"/>
    </row>
    <row r="115" spans="2:9">
      <c r="C115" s="152"/>
      <c r="D115" s="81"/>
      <c r="E115" s="81"/>
      <c r="F115" s="152"/>
      <c r="G115" s="151"/>
      <c r="I115" s="37"/>
    </row>
    <row r="116" spans="2:9">
      <c r="B116" s="22"/>
      <c r="C116" s="53"/>
      <c r="D116" s="53"/>
      <c r="E116" s="53"/>
      <c r="F116" s="80"/>
      <c r="G116" s="134"/>
      <c r="H116" s="22"/>
      <c r="I116" s="33"/>
    </row>
    <row r="117" spans="2:9">
      <c r="B117" s="22"/>
      <c r="C117" s="53"/>
      <c r="D117" s="53"/>
      <c r="E117" s="53"/>
      <c r="F117" s="80"/>
      <c r="G117" s="134"/>
      <c r="H117" s="22"/>
      <c r="I117" s="33"/>
    </row>
    <row r="118" spans="2:9" s="33" customFormat="1" ht="15.6">
      <c r="B118" s="38"/>
      <c r="C118" s="73" t="s">
        <v>15</v>
      </c>
      <c r="D118" s="53"/>
      <c r="E118" s="53"/>
      <c r="F118" s="53"/>
      <c r="G118" s="134"/>
      <c r="H118" s="38"/>
    </row>
    <row r="119" spans="2:9" ht="15.6">
      <c r="B119" s="22"/>
      <c r="C119" s="78"/>
      <c r="D119" s="55"/>
      <c r="E119" s="55"/>
      <c r="F119" s="55"/>
      <c r="G119" s="133"/>
      <c r="H119" s="22"/>
    </row>
    <row r="120" spans="2:9" ht="15.6">
      <c r="B120" s="22"/>
      <c r="C120" s="78"/>
      <c r="D120" s="55"/>
      <c r="E120" s="55"/>
      <c r="F120" s="55"/>
      <c r="G120" s="133"/>
      <c r="H120" s="22"/>
    </row>
    <row r="121" spans="2:9" ht="15.6">
      <c r="B121" s="22"/>
      <c r="C121" s="51" t="s">
        <v>334</v>
      </c>
      <c r="D121" s="51"/>
      <c r="E121" s="51"/>
      <c r="F121" s="51"/>
      <c r="G121" s="129"/>
      <c r="H121" s="22"/>
    </row>
    <row r="122" spans="2:9">
      <c r="B122" s="22"/>
      <c r="C122" s="83"/>
      <c r="D122" s="83"/>
      <c r="E122" s="83"/>
      <c r="F122" s="83"/>
      <c r="G122" s="136"/>
      <c r="H122" s="22"/>
      <c r="I122" s="37"/>
    </row>
    <row r="123" spans="2:9">
      <c r="B123" s="22"/>
      <c r="C123" s="237" t="s">
        <v>326</v>
      </c>
      <c r="D123" s="237" t="s">
        <v>347</v>
      </c>
      <c r="E123" s="237" t="s">
        <v>327</v>
      </c>
      <c r="F123" s="237" t="s">
        <v>328</v>
      </c>
      <c r="G123" s="238" t="s">
        <v>303</v>
      </c>
      <c r="H123" s="22"/>
    </row>
    <row r="124" spans="2:9">
      <c r="B124" s="22"/>
      <c r="C124" s="84"/>
      <c r="D124" s="85"/>
      <c r="E124" s="86"/>
      <c r="F124" s="86"/>
      <c r="G124" s="137"/>
      <c r="H124" s="22"/>
    </row>
    <row r="125" spans="2:9">
      <c r="B125" s="22"/>
      <c r="C125" s="56" t="s">
        <v>349</v>
      </c>
      <c r="D125" s="58" t="s">
        <v>91</v>
      </c>
      <c r="E125" s="58" t="s">
        <v>1</v>
      </c>
      <c r="F125" s="52">
        <v>1.45</v>
      </c>
      <c r="G125" s="131"/>
      <c r="H125" s="22"/>
    </row>
    <row r="126" spans="2:9">
      <c r="B126" s="22"/>
      <c r="C126" s="56"/>
      <c r="D126" s="52" t="s">
        <v>145</v>
      </c>
      <c r="E126" s="52" t="s">
        <v>1</v>
      </c>
      <c r="F126" s="275">
        <v>1.45</v>
      </c>
      <c r="G126" s="269"/>
      <c r="H126" s="22"/>
    </row>
    <row r="127" spans="2:9">
      <c r="B127" s="22"/>
      <c r="C127" s="56"/>
      <c r="D127" s="58" t="s">
        <v>16</v>
      </c>
      <c r="E127" s="58" t="s">
        <v>1</v>
      </c>
      <c r="F127" s="99">
        <v>1.504</v>
      </c>
      <c r="G127" s="143" t="s">
        <v>354</v>
      </c>
      <c r="H127" s="22"/>
    </row>
    <row r="128" spans="2:9">
      <c r="B128" s="22"/>
      <c r="C128" s="56"/>
      <c r="D128" s="58" t="s">
        <v>87</v>
      </c>
      <c r="E128" s="58" t="s">
        <v>1</v>
      </c>
      <c r="F128" s="99">
        <v>1.43</v>
      </c>
      <c r="G128" s="131"/>
      <c r="H128" s="22"/>
    </row>
    <row r="129" spans="2:8">
      <c r="B129" s="22"/>
      <c r="C129" s="56"/>
      <c r="D129" s="56" t="s">
        <v>375</v>
      </c>
      <c r="E129" s="56" t="s">
        <v>1</v>
      </c>
      <c r="F129" s="65">
        <f>AVERAGE(F125:F128)</f>
        <v>1.4584999999999999</v>
      </c>
      <c r="G129" s="131"/>
      <c r="H129" s="22"/>
    </row>
    <row r="130" spans="2:8">
      <c r="B130" s="22"/>
      <c r="C130" s="61" t="s">
        <v>350</v>
      </c>
      <c r="D130" s="51" t="s">
        <v>16</v>
      </c>
      <c r="E130" s="53" t="s">
        <v>1</v>
      </c>
      <c r="F130" s="63">
        <f>50/1000</f>
        <v>0.05</v>
      </c>
      <c r="G130" s="134"/>
      <c r="H130" s="22"/>
    </row>
    <row r="131" spans="2:8">
      <c r="B131" s="22"/>
      <c r="C131" s="56" t="s">
        <v>219</v>
      </c>
      <c r="D131" s="56" t="s">
        <v>34</v>
      </c>
      <c r="E131" s="58" t="s">
        <v>1</v>
      </c>
      <c r="F131" s="65">
        <f>F72</f>
        <v>0.17</v>
      </c>
      <c r="G131" s="131" t="s">
        <v>383</v>
      </c>
      <c r="H131" s="22"/>
    </row>
    <row r="132" spans="2:8">
      <c r="B132" s="22"/>
      <c r="C132" s="51" t="s">
        <v>218</v>
      </c>
      <c r="D132" s="51" t="s">
        <v>16</v>
      </c>
      <c r="E132" s="53" t="s">
        <v>1</v>
      </c>
      <c r="F132" s="63">
        <f>11/1000</f>
        <v>1.0999999999999999E-2</v>
      </c>
      <c r="G132" s="134" t="s">
        <v>383</v>
      </c>
      <c r="H132" s="22"/>
    </row>
    <row r="133" spans="2:8">
      <c r="B133" s="22"/>
      <c r="C133" s="56" t="s">
        <v>217</v>
      </c>
      <c r="D133" s="56" t="s">
        <v>16</v>
      </c>
      <c r="E133" s="58" t="s">
        <v>1</v>
      </c>
      <c r="F133" s="283">
        <f>2/1000</f>
        <v>2E-3</v>
      </c>
      <c r="G133" s="131"/>
      <c r="H133" s="22"/>
    </row>
    <row r="134" spans="2:8">
      <c r="B134" s="22"/>
      <c r="C134" s="51" t="s">
        <v>220</v>
      </c>
      <c r="D134" s="61" t="s">
        <v>145</v>
      </c>
      <c r="E134" s="53" t="s">
        <v>1</v>
      </c>
      <c r="F134" s="63">
        <v>0.05</v>
      </c>
      <c r="G134" s="273"/>
      <c r="H134" s="22"/>
    </row>
    <row r="135" spans="2:8">
      <c r="B135" s="22"/>
      <c r="C135" s="56" t="s">
        <v>212</v>
      </c>
      <c r="D135" s="58" t="s">
        <v>16</v>
      </c>
      <c r="E135" s="58" t="s">
        <v>4</v>
      </c>
      <c r="F135" s="74">
        <v>567</v>
      </c>
      <c r="G135" s="131" t="s">
        <v>384</v>
      </c>
      <c r="H135" s="22"/>
    </row>
    <row r="136" spans="2:8">
      <c r="B136" s="22"/>
      <c r="C136" s="56"/>
      <c r="D136" s="58" t="s">
        <v>34</v>
      </c>
      <c r="E136" s="58" t="s">
        <v>4</v>
      </c>
      <c r="F136" s="69">
        <v>467</v>
      </c>
      <c r="G136" s="131" t="s">
        <v>386</v>
      </c>
      <c r="H136" s="22"/>
    </row>
    <row r="137" spans="2:8">
      <c r="B137" s="22"/>
      <c r="C137" s="56"/>
      <c r="D137" s="58" t="s">
        <v>105</v>
      </c>
      <c r="E137" s="58" t="s">
        <v>4</v>
      </c>
      <c r="F137" s="69">
        <f>AVERAGE(484,525)</f>
        <v>504.5</v>
      </c>
      <c r="G137" s="131" t="s">
        <v>385</v>
      </c>
      <c r="H137" s="22"/>
    </row>
    <row r="138" spans="2:8">
      <c r="B138" s="22"/>
      <c r="C138" s="56"/>
      <c r="D138" s="58" t="s">
        <v>33</v>
      </c>
      <c r="E138" s="58" t="s">
        <v>4</v>
      </c>
      <c r="F138" s="69">
        <v>550</v>
      </c>
      <c r="G138" s="131" t="s">
        <v>385</v>
      </c>
      <c r="H138" s="22"/>
    </row>
    <row r="139" spans="2:8">
      <c r="B139" s="22"/>
      <c r="C139" s="56"/>
      <c r="D139" s="58" t="s">
        <v>101</v>
      </c>
      <c r="E139" s="58" t="s">
        <v>4</v>
      </c>
      <c r="F139" s="69">
        <v>653</v>
      </c>
      <c r="G139" s="131" t="s">
        <v>385</v>
      </c>
      <c r="H139" s="22"/>
    </row>
    <row r="140" spans="2:8" ht="26.4">
      <c r="B140" s="22"/>
      <c r="C140" s="56"/>
      <c r="D140" s="58" t="s">
        <v>109</v>
      </c>
      <c r="E140" s="58" t="s">
        <v>4</v>
      </c>
      <c r="F140" s="69">
        <v>503</v>
      </c>
      <c r="G140" s="131" t="s">
        <v>387</v>
      </c>
      <c r="H140" s="22"/>
    </row>
    <row r="141" spans="2:8">
      <c r="B141" s="22"/>
      <c r="C141" s="56"/>
      <c r="D141" s="58" t="s">
        <v>105</v>
      </c>
      <c r="E141" s="58" t="s">
        <v>4</v>
      </c>
      <c r="F141" s="69">
        <f>AVERAGE(726,767)-F137</f>
        <v>242</v>
      </c>
      <c r="G141" s="131" t="s">
        <v>388</v>
      </c>
      <c r="H141" s="22"/>
    </row>
    <row r="142" spans="2:8">
      <c r="B142" s="22"/>
      <c r="C142" s="56"/>
      <c r="D142" s="58" t="s">
        <v>33</v>
      </c>
      <c r="E142" s="58" t="s">
        <v>4</v>
      </c>
      <c r="F142" s="69">
        <v>250</v>
      </c>
      <c r="G142" s="131" t="s">
        <v>388</v>
      </c>
      <c r="H142" s="22"/>
    </row>
    <row r="143" spans="2:8">
      <c r="B143" s="22"/>
      <c r="C143" s="56"/>
      <c r="D143" s="58" t="s">
        <v>109</v>
      </c>
      <c r="E143" s="58" t="s">
        <v>4</v>
      </c>
      <c r="F143" s="69">
        <v>242</v>
      </c>
      <c r="G143" s="131" t="s">
        <v>388</v>
      </c>
      <c r="H143" s="22"/>
    </row>
    <row r="144" spans="2:8">
      <c r="B144" s="22"/>
      <c r="C144" s="56"/>
      <c r="D144" s="56" t="s">
        <v>381</v>
      </c>
      <c r="E144" s="58" t="s">
        <v>4</v>
      </c>
      <c r="F144" s="79">
        <f>AVERAGE(F135:F140)</f>
        <v>540.75</v>
      </c>
      <c r="G144" s="131"/>
      <c r="H144" s="22"/>
    </row>
    <row r="145" spans="2:9">
      <c r="B145" s="22"/>
      <c r="C145" s="56"/>
      <c r="D145" s="56" t="s">
        <v>382</v>
      </c>
      <c r="E145" s="58" t="s">
        <v>4</v>
      </c>
      <c r="F145" s="79">
        <f>AVERAGE(F141:F143)+F144</f>
        <v>785.41666666666663</v>
      </c>
      <c r="G145" s="131"/>
      <c r="H145" s="22"/>
    </row>
    <row r="146" spans="2:9">
      <c r="B146" s="22"/>
      <c r="C146" s="51" t="s">
        <v>210</v>
      </c>
      <c r="D146" s="53" t="s">
        <v>33</v>
      </c>
      <c r="E146" s="53" t="s">
        <v>4</v>
      </c>
      <c r="F146" s="53">
        <v>50</v>
      </c>
      <c r="G146" s="134" t="s">
        <v>389</v>
      </c>
      <c r="H146" s="22"/>
    </row>
    <row r="147" spans="2:9">
      <c r="B147" s="22"/>
      <c r="C147" s="51"/>
      <c r="D147" s="53" t="s">
        <v>105</v>
      </c>
      <c r="E147" s="53" t="s">
        <v>4</v>
      </c>
      <c r="F147" s="53">
        <v>48</v>
      </c>
      <c r="G147" s="134"/>
      <c r="H147" s="22"/>
    </row>
    <row r="148" spans="2:9">
      <c r="B148" s="22"/>
      <c r="C148" s="51"/>
      <c r="D148" s="53" t="s">
        <v>109</v>
      </c>
      <c r="E148" s="53" t="s">
        <v>4</v>
      </c>
      <c r="F148" s="53">
        <v>48</v>
      </c>
      <c r="G148" s="134"/>
      <c r="H148" s="22"/>
    </row>
    <row r="149" spans="2:9">
      <c r="B149" s="22"/>
      <c r="C149" s="51"/>
      <c r="D149" s="53" t="s">
        <v>17</v>
      </c>
      <c r="E149" s="53" t="s">
        <v>4</v>
      </c>
      <c r="F149" s="53">
        <v>54</v>
      </c>
      <c r="G149" s="134"/>
      <c r="H149" s="22"/>
    </row>
    <row r="150" spans="2:9">
      <c r="B150" s="22"/>
      <c r="C150" s="51"/>
      <c r="D150" s="51" t="s">
        <v>375</v>
      </c>
      <c r="E150" s="53" t="s">
        <v>4</v>
      </c>
      <c r="F150" s="90">
        <f>AVERAGE(F146:F149)</f>
        <v>50</v>
      </c>
      <c r="G150" s="134"/>
      <c r="H150" s="22"/>
    </row>
    <row r="151" spans="2:9">
      <c r="B151" s="22"/>
      <c r="C151" s="56" t="s">
        <v>371</v>
      </c>
      <c r="D151" s="56" t="s">
        <v>34</v>
      </c>
      <c r="E151" s="58" t="s">
        <v>2</v>
      </c>
      <c r="F151" s="91">
        <v>0.7</v>
      </c>
      <c r="G151" s="131" t="s">
        <v>390</v>
      </c>
      <c r="H151" s="22"/>
    </row>
    <row r="152" spans="2:9">
      <c r="B152" s="22"/>
      <c r="C152" s="51" t="s">
        <v>211</v>
      </c>
      <c r="D152" s="53"/>
      <c r="E152" s="53"/>
      <c r="F152" s="53"/>
      <c r="G152" s="134"/>
      <c r="H152" s="22"/>
    </row>
    <row r="153" spans="2:9">
      <c r="B153" s="22"/>
      <c r="C153" s="267" t="s">
        <v>20</v>
      </c>
      <c r="D153" s="80" t="s">
        <v>144</v>
      </c>
      <c r="E153" s="53" t="s">
        <v>2</v>
      </c>
      <c r="F153" s="53">
        <v>0.08</v>
      </c>
      <c r="G153" s="134" t="s">
        <v>359</v>
      </c>
      <c r="H153" s="22"/>
    </row>
    <row r="154" spans="2:9">
      <c r="B154" s="22"/>
      <c r="C154" s="51"/>
      <c r="D154" s="80" t="s">
        <v>105</v>
      </c>
      <c r="E154" s="53" t="s">
        <v>2</v>
      </c>
      <c r="F154" s="281">
        <f>AVERAGE(80,125)/1000</f>
        <v>0.10249999999999999</v>
      </c>
      <c r="G154" s="134" t="s">
        <v>358</v>
      </c>
      <c r="H154" s="22"/>
      <c r="I154" s="34"/>
    </row>
    <row r="155" spans="2:9" ht="18" customHeight="1">
      <c r="B155" s="22"/>
      <c r="C155" s="53"/>
      <c r="D155" s="61" t="s">
        <v>375</v>
      </c>
      <c r="E155" s="53" t="s">
        <v>2</v>
      </c>
      <c r="F155" s="294">
        <f>AVERAGE(F153:F154)</f>
        <v>9.1249999999999998E-2</v>
      </c>
      <c r="G155" s="273"/>
      <c r="H155" s="22"/>
    </row>
    <row r="156" spans="2:9">
      <c r="B156" s="22"/>
      <c r="C156" s="53"/>
      <c r="D156" s="53"/>
      <c r="E156" s="53"/>
      <c r="F156" s="53"/>
      <c r="G156" s="134"/>
      <c r="H156" s="22"/>
    </row>
    <row r="157" spans="2:9">
      <c r="B157" s="22"/>
      <c r="C157" s="53" t="s">
        <v>21</v>
      </c>
      <c r="D157" s="53" t="s">
        <v>16</v>
      </c>
      <c r="E157" s="53" t="s">
        <v>2</v>
      </c>
      <c r="F157" s="97">
        <v>0.59399999999999997</v>
      </c>
      <c r="G157" s="134" t="s">
        <v>391</v>
      </c>
      <c r="H157" s="22"/>
    </row>
    <row r="158" spans="2:9">
      <c r="B158" s="22"/>
      <c r="C158" s="53"/>
      <c r="D158" s="53" t="s">
        <v>16</v>
      </c>
      <c r="E158" s="53" t="s">
        <v>2</v>
      </c>
      <c r="F158" s="97">
        <v>0.159</v>
      </c>
      <c r="G158" s="134" t="s">
        <v>392</v>
      </c>
      <c r="H158" s="22"/>
    </row>
    <row r="159" spans="2:9">
      <c r="B159" s="22"/>
      <c r="C159" s="53"/>
      <c r="D159" s="51" t="s">
        <v>380</v>
      </c>
      <c r="E159" s="53" t="s">
        <v>2</v>
      </c>
      <c r="F159" s="279">
        <f>SUM(F157:F158)</f>
        <v>0.753</v>
      </c>
      <c r="G159" s="134"/>
      <c r="H159" s="22"/>
    </row>
    <row r="160" spans="2:9">
      <c r="B160" s="22"/>
      <c r="C160" s="53"/>
      <c r="D160" s="51"/>
      <c r="E160" s="53"/>
      <c r="F160" s="279"/>
      <c r="G160" s="134"/>
      <c r="H160" s="22"/>
    </row>
    <row r="161" spans="2:8">
      <c r="B161" s="22"/>
      <c r="C161" s="53"/>
      <c r="D161" s="51" t="s">
        <v>377</v>
      </c>
      <c r="E161" s="53" t="s">
        <v>2</v>
      </c>
      <c r="F161" s="279">
        <f>SUM(F155,F157)</f>
        <v>0.68524999999999991</v>
      </c>
      <c r="G161" s="134"/>
      <c r="H161" s="22"/>
    </row>
    <row r="162" spans="2:8">
      <c r="B162" s="22"/>
      <c r="C162" s="53"/>
      <c r="D162" s="51" t="s">
        <v>378</v>
      </c>
      <c r="E162" s="53" t="s">
        <v>2</v>
      </c>
      <c r="F162" s="279">
        <f>SUM(F155,F159)</f>
        <v>0.84424999999999994</v>
      </c>
      <c r="G162" s="134"/>
      <c r="H162" s="22"/>
    </row>
    <row r="163" spans="2:8" ht="15.6">
      <c r="B163" s="22"/>
      <c r="C163" s="56" t="s">
        <v>372</v>
      </c>
      <c r="D163" s="58" t="s">
        <v>109</v>
      </c>
      <c r="E163" s="58" t="s">
        <v>1</v>
      </c>
      <c r="F163" s="99">
        <v>3.9E-2</v>
      </c>
      <c r="G163" s="131"/>
      <c r="H163" s="22"/>
    </row>
    <row r="164" spans="2:8">
      <c r="B164" s="22"/>
      <c r="C164" s="56"/>
      <c r="D164" s="58" t="s">
        <v>105</v>
      </c>
      <c r="E164" s="58" t="s">
        <v>1</v>
      </c>
      <c r="F164" s="99">
        <v>0.04</v>
      </c>
      <c r="G164" s="131"/>
      <c r="H164" s="22"/>
    </row>
    <row r="165" spans="2:8">
      <c r="B165" s="22"/>
      <c r="C165" s="56"/>
      <c r="D165" s="58" t="s">
        <v>16</v>
      </c>
      <c r="E165" s="58" t="s">
        <v>1</v>
      </c>
      <c r="F165" s="99">
        <v>5.2999999999999999E-2</v>
      </c>
      <c r="G165" s="131" t="s">
        <v>362</v>
      </c>
      <c r="H165" s="22"/>
    </row>
    <row r="166" spans="2:8">
      <c r="B166" s="22"/>
      <c r="C166" s="56"/>
      <c r="D166" s="56" t="s">
        <v>375</v>
      </c>
      <c r="E166" s="58" t="s">
        <v>1</v>
      </c>
      <c r="F166" s="280">
        <f>AVERAGE(F163,F164:F165)</f>
        <v>4.4000000000000004E-2</v>
      </c>
      <c r="G166" s="131" t="s">
        <v>393</v>
      </c>
      <c r="H166" s="22"/>
    </row>
    <row r="167" spans="2:8" ht="26.4">
      <c r="B167" s="22"/>
      <c r="C167" s="52" t="s">
        <v>373</v>
      </c>
      <c r="D167" s="58" t="s">
        <v>34</v>
      </c>
      <c r="E167" s="58" t="s">
        <v>1</v>
      </c>
      <c r="F167" s="58">
        <v>0.05</v>
      </c>
      <c r="G167" s="131" t="s">
        <v>394</v>
      </c>
      <c r="H167" s="22"/>
    </row>
    <row r="168" spans="2:8">
      <c r="B168" s="22"/>
      <c r="C168" s="83"/>
      <c r="D168" s="83"/>
      <c r="E168" s="83"/>
      <c r="F168" s="83"/>
      <c r="G168" s="139"/>
      <c r="H168" s="22"/>
    </row>
    <row r="169" spans="2:8">
      <c r="B169" s="22"/>
      <c r="C169" s="53"/>
      <c r="D169" s="53"/>
      <c r="E169" s="53"/>
      <c r="F169" s="53"/>
      <c r="G169" s="134"/>
      <c r="H169" s="22"/>
    </row>
    <row r="170" spans="2:8">
      <c r="B170" s="22"/>
      <c r="C170" s="53"/>
      <c r="D170" s="53"/>
      <c r="E170" s="53"/>
      <c r="F170" s="53"/>
      <c r="G170" s="134"/>
      <c r="H170" s="22"/>
    </row>
    <row r="171" spans="2:8">
      <c r="B171" s="22"/>
      <c r="C171" s="84" t="s">
        <v>247</v>
      </c>
      <c r="D171" s="84"/>
      <c r="E171" s="84"/>
      <c r="F171" s="84"/>
      <c r="G171" s="130"/>
      <c r="H171" s="22"/>
    </row>
    <row r="172" spans="2:8">
      <c r="B172" s="22"/>
      <c r="C172" s="53"/>
      <c r="D172" s="53"/>
      <c r="E172" s="53"/>
      <c r="F172" s="53"/>
      <c r="G172" s="134"/>
      <c r="H172" s="22"/>
    </row>
    <row r="173" spans="2:8">
      <c r="B173" s="22"/>
      <c r="C173" s="285" t="s">
        <v>326</v>
      </c>
      <c r="D173" s="285" t="s">
        <v>10</v>
      </c>
      <c r="E173" s="347" t="s">
        <v>327</v>
      </c>
      <c r="F173" s="285" t="s">
        <v>328</v>
      </c>
      <c r="G173" s="286" t="s">
        <v>19</v>
      </c>
      <c r="H173" s="22"/>
    </row>
    <row r="174" spans="2:8">
      <c r="B174" s="22"/>
      <c r="C174" s="84"/>
      <c r="D174" s="86"/>
      <c r="E174" s="86"/>
      <c r="F174" s="86"/>
      <c r="G174" s="137"/>
      <c r="H174" s="22"/>
    </row>
    <row r="175" spans="2:8" ht="39.6">
      <c r="B175" s="22"/>
      <c r="C175" s="92" t="s">
        <v>339</v>
      </c>
      <c r="D175" s="56" t="s">
        <v>116</v>
      </c>
      <c r="E175" s="58" t="s">
        <v>95</v>
      </c>
      <c r="F175" s="64">
        <f>SUM(F177:F178)</f>
        <v>414</v>
      </c>
      <c r="G175" s="131" t="s">
        <v>368</v>
      </c>
      <c r="H175" s="22"/>
    </row>
    <row r="176" spans="2:8">
      <c r="B176" s="22"/>
      <c r="C176" s="58" t="s">
        <v>374</v>
      </c>
      <c r="D176" s="58"/>
      <c r="E176" s="58"/>
      <c r="F176" s="58"/>
      <c r="G176" s="131"/>
      <c r="H176" s="22"/>
    </row>
    <row r="177" spans="2:9" ht="13.95" customHeight="1">
      <c r="B177" s="22"/>
      <c r="C177" s="58" t="s">
        <v>265</v>
      </c>
      <c r="D177" s="56" t="s">
        <v>116</v>
      </c>
      <c r="E177" s="58" t="s">
        <v>95</v>
      </c>
      <c r="F177" s="64">
        <v>230</v>
      </c>
      <c r="G177" s="131"/>
      <c r="H177" s="22"/>
    </row>
    <row r="178" spans="2:9" ht="13.95" customHeight="1">
      <c r="B178" s="22"/>
      <c r="C178" s="58" t="s">
        <v>5</v>
      </c>
      <c r="D178" s="56" t="s">
        <v>116</v>
      </c>
      <c r="E178" s="58" t="s">
        <v>95</v>
      </c>
      <c r="F178" s="64">
        <v>184</v>
      </c>
      <c r="G178" s="142"/>
      <c r="H178" s="22"/>
    </row>
    <row r="179" spans="2:9" ht="26.4">
      <c r="B179" s="22"/>
      <c r="C179" s="58" t="s">
        <v>365</v>
      </c>
      <c r="D179" s="58"/>
      <c r="E179" s="58" t="s">
        <v>367</v>
      </c>
      <c r="F179" s="64">
        <v>1.8</v>
      </c>
      <c r="G179" s="138" t="s">
        <v>369</v>
      </c>
      <c r="H179" s="22"/>
    </row>
    <row r="180" spans="2:9" ht="26.4">
      <c r="B180" s="22"/>
      <c r="C180" s="58" t="s">
        <v>366</v>
      </c>
      <c r="D180" s="58"/>
      <c r="E180" s="58" t="s">
        <v>367</v>
      </c>
      <c r="F180" s="56">
        <v>1.8</v>
      </c>
      <c r="G180" s="138" t="s">
        <v>369</v>
      </c>
      <c r="H180" s="22"/>
      <c r="I180" s="37"/>
    </row>
    <row r="181" spans="2:9" ht="13.8" thickBot="1">
      <c r="B181" s="22"/>
      <c r="C181" s="93" t="s">
        <v>268</v>
      </c>
      <c r="D181" s="93"/>
      <c r="E181" s="93" t="s">
        <v>8</v>
      </c>
      <c r="F181" s="93">
        <v>90</v>
      </c>
      <c r="G181" s="93" t="s">
        <v>395</v>
      </c>
      <c r="H181" s="22"/>
    </row>
    <row r="182" spans="2:9" ht="13.95" customHeight="1" thickTop="1">
      <c r="B182" s="22"/>
      <c r="C182" s="51"/>
      <c r="D182" s="53"/>
      <c r="E182" s="53"/>
      <c r="F182" s="53"/>
      <c r="G182" s="134"/>
      <c r="H182" s="22"/>
    </row>
    <row r="183" spans="2:9">
      <c r="G183" s="146"/>
    </row>
  </sheetData>
  <sheetProtection algorithmName="SHA-512" hashValue="3qWuprfXq56BU4FRANNMtdT6fOCLkrU45EMXcCR2SS9rk7jxkmW3zBfWaCzPTMgSCtaFp/h4THTSo6m6/yX6gw==" saltValue="jCBwTo1Szs07oClLcxe5gg==" spinCount="100000" sheet="1" objects="1" scenarios="1"/>
  <mergeCells count="1">
    <mergeCell ref="C5:G5"/>
  </mergeCells>
  <phoneticPr fontId="39" type="noConversion"/>
  <pageMargins left="0.7" right="0.7" top="0.75" bottom="0.75" header="0.3" footer="0.3"/>
  <pageSetup orientation="portrait" verticalDpi="601" r:id="rId1"/>
  <ignoredErrors>
    <ignoredError sqref="F23 F29 F47 F107 F33"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5"/>
  <sheetViews>
    <sheetView zoomScale="70" zoomScaleNormal="70" workbookViewId="0"/>
  </sheetViews>
  <sheetFormatPr baseColWidth="10" defaultColWidth="11" defaultRowHeight="13.8"/>
  <cols>
    <col min="1" max="2" width="2.19921875" style="1" customWidth="1"/>
    <col min="3" max="3" width="22.19921875" style="46" customWidth="1"/>
    <col min="4" max="4" width="103.5" style="46" bestFit="1" customWidth="1"/>
    <col min="5" max="5" width="103.5" style="46" customWidth="1"/>
    <col min="6" max="6" width="2.19921875" style="1" customWidth="1"/>
    <col min="7" max="16384" width="11" style="43"/>
  </cols>
  <sheetData>
    <row r="1" spans="1:6" s="1" customFormat="1" ht="13.2">
      <c r="C1" s="40"/>
      <c r="D1" s="40"/>
      <c r="E1" s="40"/>
    </row>
    <row r="2" spans="1:6" s="1" customFormat="1" ht="13.2">
      <c r="B2" s="22"/>
      <c r="C2" s="41"/>
      <c r="D2" s="41"/>
      <c r="E2" s="41"/>
      <c r="F2" s="22"/>
    </row>
    <row r="3" spans="1:6">
      <c r="B3" s="22"/>
      <c r="C3" s="42"/>
      <c r="D3" s="42"/>
      <c r="E3" s="42"/>
      <c r="F3" s="22"/>
    </row>
    <row r="4" spans="1:6" s="1" customFormat="1" ht="17.399999999999999">
      <c r="B4" s="22"/>
      <c r="C4" s="316" t="s">
        <v>205</v>
      </c>
      <c r="D4" s="44"/>
      <c r="E4" s="44"/>
      <c r="F4" s="22"/>
    </row>
    <row r="5" spans="1:6" s="1" customFormat="1" ht="13.2">
      <c r="B5" s="22"/>
      <c r="C5" s="44"/>
      <c r="D5" s="44"/>
      <c r="E5" s="44"/>
      <c r="F5" s="22"/>
    </row>
    <row r="6" spans="1:6">
      <c r="B6" s="22"/>
      <c r="C6" s="119" t="s">
        <v>204</v>
      </c>
      <c r="D6" s="119" t="s">
        <v>206</v>
      </c>
      <c r="E6" s="119" t="s">
        <v>207</v>
      </c>
      <c r="F6" s="22"/>
    </row>
    <row r="7" spans="1:6">
      <c r="B7" s="22"/>
      <c r="C7" s="120"/>
      <c r="D7" s="120"/>
      <c r="E7" s="120"/>
      <c r="F7" s="22"/>
    </row>
    <row r="8" spans="1:6" s="154" customFormat="1">
      <c r="A8" s="34"/>
      <c r="B8" s="153"/>
      <c r="C8" s="155"/>
      <c r="D8" s="155"/>
      <c r="E8" s="155"/>
      <c r="F8" s="153"/>
    </row>
    <row r="9" spans="1:6" s="157" customFormat="1" ht="39.6">
      <c r="A9" s="34"/>
      <c r="B9" s="153"/>
      <c r="C9" s="156" t="s">
        <v>92</v>
      </c>
      <c r="D9" s="156" t="s">
        <v>110</v>
      </c>
      <c r="E9" s="321" t="s">
        <v>80</v>
      </c>
      <c r="F9" s="153"/>
    </row>
    <row r="10" spans="1:6" s="157" customFormat="1" ht="39.6">
      <c r="A10" s="34"/>
      <c r="B10" s="153"/>
      <c r="C10" s="156" t="s">
        <v>174</v>
      </c>
      <c r="D10" s="156" t="s">
        <v>175</v>
      </c>
      <c r="E10" s="323" t="s">
        <v>176</v>
      </c>
      <c r="F10" s="153"/>
    </row>
    <row r="11" spans="1:6" s="157" customFormat="1" ht="26.4">
      <c r="A11" s="34"/>
      <c r="B11" s="153"/>
      <c r="C11" s="156" t="s">
        <v>167</v>
      </c>
      <c r="D11" s="156" t="s">
        <v>168</v>
      </c>
      <c r="E11" s="323" t="s">
        <v>169</v>
      </c>
      <c r="F11" s="153"/>
    </row>
    <row r="12" spans="1:6" s="157" customFormat="1" ht="13.2">
      <c r="A12" s="34"/>
      <c r="B12" s="153"/>
      <c r="C12" s="156" t="s">
        <v>170</v>
      </c>
      <c r="D12" s="156" t="s">
        <v>171</v>
      </c>
      <c r="E12" s="323" t="s">
        <v>172</v>
      </c>
      <c r="F12" s="153"/>
    </row>
    <row r="13" spans="1:6" s="157" customFormat="1" ht="26.4">
      <c r="A13" s="34"/>
      <c r="B13" s="153"/>
      <c r="C13" s="156" t="s">
        <v>32</v>
      </c>
      <c r="D13" s="156" t="s">
        <v>132</v>
      </c>
      <c r="E13" s="321" t="s">
        <v>133</v>
      </c>
      <c r="F13" s="153"/>
    </row>
    <row r="14" spans="1:6" s="157" customFormat="1" ht="13.2">
      <c r="A14" s="34"/>
      <c r="B14" s="153"/>
      <c r="C14" s="156" t="s">
        <v>85</v>
      </c>
      <c r="D14" s="156" t="s">
        <v>125</v>
      </c>
      <c r="E14" s="321" t="s">
        <v>124</v>
      </c>
      <c r="F14" s="153"/>
    </row>
    <row r="15" spans="1:6" s="157" customFormat="1" ht="13.2">
      <c r="A15" s="34"/>
      <c r="B15" s="153"/>
      <c r="C15" s="156" t="s">
        <v>86</v>
      </c>
      <c r="D15" s="156" t="s">
        <v>128</v>
      </c>
      <c r="E15" s="322"/>
      <c r="F15" s="153"/>
    </row>
    <row r="16" spans="1:6" s="157" customFormat="1" ht="39.6">
      <c r="A16" s="34"/>
      <c r="B16" s="153"/>
      <c r="C16" s="317" t="s">
        <v>87</v>
      </c>
      <c r="D16" s="156" t="s">
        <v>98</v>
      </c>
      <c r="E16" s="321" t="s">
        <v>69</v>
      </c>
      <c r="F16" s="153"/>
    </row>
    <row r="17" spans="1:6" s="157" customFormat="1" ht="26.4">
      <c r="A17" s="34"/>
      <c r="B17" s="153"/>
      <c r="C17" s="317" t="s">
        <v>153</v>
      </c>
      <c r="D17" s="156" t="s">
        <v>155</v>
      </c>
      <c r="E17" s="323" t="s">
        <v>142</v>
      </c>
      <c r="F17" s="153"/>
    </row>
    <row r="18" spans="1:6" s="157" customFormat="1" ht="39.6">
      <c r="A18" s="34"/>
      <c r="B18" s="153"/>
      <c r="C18" s="317" t="s">
        <v>154</v>
      </c>
      <c r="D18" s="156" t="s">
        <v>156</v>
      </c>
      <c r="E18" s="323" t="s">
        <v>141</v>
      </c>
      <c r="F18" s="153"/>
    </row>
    <row r="19" spans="1:6" s="157" customFormat="1" ht="26.4">
      <c r="A19" s="34"/>
      <c r="B19" s="153"/>
      <c r="C19" s="317" t="s">
        <v>88</v>
      </c>
      <c r="D19" s="158" t="s">
        <v>99</v>
      </c>
      <c r="E19" s="321" t="s">
        <v>70</v>
      </c>
      <c r="F19" s="153"/>
    </row>
    <row r="20" spans="1:6" s="157" customFormat="1" ht="26.4">
      <c r="A20" s="34"/>
      <c r="B20" s="153"/>
      <c r="C20" s="317" t="s">
        <v>89</v>
      </c>
      <c r="D20" s="156" t="s">
        <v>100</v>
      </c>
      <c r="E20" s="321" t="s">
        <v>71</v>
      </c>
      <c r="F20" s="153"/>
    </row>
    <row r="21" spans="1:6" s="157" customFormat="1" ht="26.4">
      <c r="A21" s="34"/>
      <c r="B21" s="153"/>
      <c r="C21" s="156" t="s">
        <v>101</v>
      </c>
      <c r="D21" s="156" t="s">
        <v>102</v>
      </c>
      <c r="E21" s="321" t="s">
        <v>72</v>
      </c>
      <c r="F21" s="153"/>
    </row>
    <row r="22" spans="1:6" s="157" customFormat="1" ht="13.2">
      <c r="A22" s="34"/>
      <c r="B22" s="153"/>
      <c r="C22" s="156" t="s">
        <v>90</v>
      </c>
      <c r="D22" s="156" t="s">
        <v>138</v>
      </c>
      <c r="E22" s="322"/>
      <c r="F22" s="153"/>
    </row>
    <row r="23" spans="1:6" s="157" customFormat="1" ht="13.2">
      <c r="A23" s="34"/>
      <c r="B23" s="153"/>
      <c r="C23" s="156" t="s">
        <v>17</v>
      </c>
      <c r="D23" s="156" t="s">
        <v>121</v>
      </c>
      <c r="E23" s="322"/>
      <c r="F23" s="153"/>
    </row>
    <row r="24" spans="1:6" s="157" customFormat="1" ht="13.2">
      <c r="A24" s="34"/>
      <c r="B24" s="153"/>
      <c r="C24" s="156" t="s">
        <v>33</v>
      </c>
      <c r="D24" s="156" t="s">
        <v>139</v>
      </c>
      <c r="E24" s="322"/>
      <c r="F24" s="153"/>
    </row>
    <row r="25" spans="1:6" s="157" customFormat="1" ht="26.4">
      <c r="A25" s="34"/>
      <c r="B25" s="153"/>
      <c r="C25" s="156" t="s">
        <v>140</v>
      </c>
      <c r="D25" s="156" t="s">
        <v>137</v>
      </c>
      <c r="E25" s="321" t="s">
        <v>73</v>
      </c>
      <c r="F25" s="153"/>
    </row>
    <row r="26" spans="1:6" s="157" customFormat="1" ht="26.4">
      <c r="A26" s="34"/>
      <c r="B26" s="153"/>
      <c r="C26" s="156" t="s">
        <v>91</v>
      </c>
      <c r="D26" s="156" t="s">
        <v>120</v>
      </c>
      <c r="E26" s="322"/>
      <c r="F26" s="153"/>
    </row>
    <row r="27" spans="1:6" s="157" customFormat="1" ht="26.4">
      <c r="A27" s="34"/>
      <c r="B27" s="153"/>
      <c r="C27" s="317" t="s">
        <v>103</v>
      </c>
      <c r="D27" s="156" t="s">
        <v>104</v>
      </c>
      <c r="E27" s="321" t="s">
        <v>75</v>
      </c>
      <c r="F27" s="153"/>
    </row>
    <row r="28" spans="1:6" s="157" customFormat="1" ht="26.4">
      <c r="A28" s="34"/>
      <c r="B28" s="153"/>
      <c r="C28" s="156" t="s">
        <v>105</v>
      </c>
      <c r="D28" s="156" t="s">
        <v>106</v>
      </c>
      <c r="E28" s="321" t="s">
        <v>76</v>
      </c>
      <c r="F28" s="153"/>
    </row>
    <row r="29" spans="1:6" s="157" customFormat="1" ht="13.2">
      <c r="A29" s="34"/>
      <c r="B29" s="153"/>
      <c r="C29" s="156" t="s">
        <v>164</v>
      </c>
      <c r="D29" s="156" t="s">
        <v>166</v>
      </c>
      <c r="E29" s="323" t="s">
        <v>165</v>
      </c>
      <c r="F29" s="153"/>
    </row>
    <row r="30" spans="1:6" s="157" customFormat="1" ht="26.4">
      <c r="A30" s="34"/>
      <c r="B30" s="153"/>
      <c r="C30" s="317" t="s">
        <v>109</v>
      </c>
      <c r="D30" s="156" t="s">
        <v>108</v>
      </c>
      <c r="E30" s="321" t="s">
        <v>77</v>
      </c>
      <c r="F30" s="153"/>
    </row>
    <row r="31" spans="1:6" s="157" customFormat="1" ht="26.4">
      <c r="A31" s="34"/>
      <c r="B31" s="153"/>
      <c r="C31" s="156" t="s">
        <v>97</v>
      </c>
      <c r="D31" s="156" t="s">
        <v>107</v>
      </c>
      <c r="E31" s="321" t="s">
        <v>78</v>
      </c>
      <c r="F31" s="153"/>
    </row>
    <row r="32" spans="1:6" s="157" customFormat="1" ht="39.6">
      <c r="A32" s="34"/>
      <c r="B32" s="153"/>
      <c r="C32" s="317" t="s">
        <v>115</v>
      </c>
      <c r="D32" s="156" t="s">
        <v>114</v>
      </c>
      <c r="E32" s="321" t="s">
        <v>74</v>
      </c>
      <c r="F32" s="153"/>
    </row>
    <row r="33" spans="1:6" s="157" customFormat="1" ht="30" customHeight="1">
      <c r="A33" s="34"/>
      <c r="B33" s="153"/>
      <c r="C33" s="156" t="s">
        <v>34</v>
      </c>
      <c r="D33" s="156" t="s">
        <v>118</v>
      </c>
      <c r="E33" s="321" t="s">
        <v>79</v>
      </c>
      <c r="F33" s="153"/>
    </row>
    <row r="34" spans="1:6" s="157" customFormat="1" ht="26.4">
      <c r="A34" s="34"/>
      <c r="B34" s="153"/>
      <c r="C34" s="317" t="s">
        <v>135</v>
      </c>
      <c r="D34" s="156" t="s">
        <v>113</v>
      </c>
      <c r="E34" s="321" t="s">
        <v>81</v>
      </c>
      <c r="F34" s="153"/>
    </row>
    <row r="35" spans="1:6" s="157" customFormat="1" ht="26.4">
      <c r="A35" s="34"/>
      <c r="B35" s="153"/>
      <c r="C35" s="317" t="s">
        <v>145</v>
      </c>
      <c r="D35" s="156" t="s">
        <v>147</v>
      </c>
      <c r="E35" s="323" t="s">
        <v>146</v>
      </c>
      <c r="F35" s="153"/>
    </row>
    <row r="36" spans="1:6" s="157" customFormat="1" ht="13.2">
      <c r="A36" s="34"/>
      <c r="B36" s="153"/>
      <c r="C36" s="156" t="s">
        <v>123</v>
      </c>
      <c r="D36" s="156" t="s">
        <v>122</v>
      </c>
      <c r="E36" s="322"/>
      <c r="F36" s="153"/>
    </row>
    <row r="37" spans="1:6" s="157" customFormat="1" ht="13.2">
      <c r="A37" s="34"/>
      <c r="B37" s="153"/>
      <c r="C37" s="156" t="s">
        <v>93</v>
      </c>
      <c r="D37" s="156" t="s">
        <v>126</v>
      </c>
      <c r="E37" s="321" t="s">
        <v>127</v>
      </c>
      <c r="F37" s="153"/>
    </row>
    <row r="38" spans="1:6" s="157" customFormat="1" ht="26.4">
      <c r="A38" s="34"/>
      <c r="B38" s="153"/>
      <c r="C38" s="156" t="s">
        <v>16</v>
      </c>
      <c r="D38" s="156" t="s">
        <v>111</v>
      </c>
      <c r="E38" s="321" t="s">
        <v>82</v>
      </c>
      <c r="F38" s="153"/>
    </row>
    <row r="39" spans="1:6" s="157" customFormat="1" ht="39.6">
      <c r="A39" s="34"/>
      <c r="B39" s="153"/>
      <c r="C39" s="156" t="s">
        <v>18</v>
      </c>
      <c r="D39" s="156" t="s">
        <v>148</v>
      </c>
      <c r="E39" s="321" t="s">
        <v>83</v>
      </c>
      <c r="F39" s="153"/>
    </row>
    <row r="40" spans="1:6" s="157" customFormat="1" ht="26.4">
      <c r="A40" s="34"/>
      <c r="B40" s="153"/>
      <c r="C40" s="156" t="s">
        <v>134</v>
      </c>
      <c r="D40" s="156" t="s">
        <v>112</v>
      </c>
      <c r="E40" s="321" t="s">
        <v>84</v>
      </c>
      <c r="F40" s="153"/>
    </row>
    <row r="41" spans="1:6" s="157" customFormat="1" ht="26.4">
      <c r="A41" s="34"/>
      <c r="B41" s="153"/>
      <c r="C41" s="317" t="s">
        <v>116</v>
      </c>
      <c r="D41" s="156" t="s">
        <v>117</v>
      </c>
      <c r="E41" s="323" t="s">
        <v>158</v>
      </c>
      <c r="F41" s="153"/>
    </row>
    <row r="42" spans="1:6" s="157" customFormat="1" ht="13.2">
      <c r="A42" s="34"/>
      <c r="B42" s="153"/>
      <c r="C42" s="317" t="s">
        <v>129</v>
      </c>
      <c r="D42" s="156" t="s">
        <v>130</v>
      </c>
      <c r="E42" s="323" t="s">
        <v>131</v>
      </c>
      <c r="F42" s="153"/>
    </row>
    <row r="43" spans="1:6" s="157" customFormat="1" ht="13.2">
      <c r="A43" s="34"/>
      <c r="B43" s="153"/>
      <c r="C43" s="156" t="s">
        <v>94</v>
      </c>
      <c r="D43" s="156" t="s">
        <v>119</v>
      </c>
      <c r="E43" s="322"/>
      <c r="F43" s="153"/>
    </row>
    <row r="44" spans="1:6" s="154" customFormat="1">
      <c r="A44" s="34"/>
      <c r="B44" s="153"/>
      <c r="C44" s="45"/>
      <c r="D44" s="45"/>
      <c r="E44" s="45"/>
      <c r="F44" s="153"/>
    </row>
    <row r="45" spans="1:6" s="154" customFormat="1">
      <c r="A45" s="34"/>
      <c r="B45" s="153"/>
      <c r="C45" s="45"/>
      <c r="D45" s="45"/>
      <c r="E45" s="45"/>
      <c r="F45" s="153"/>
    </row>
  </sheetData>
  <sheetProtection algorithmName="SHA-512" hashValue="H3ziA+BOkyrL9rCR14jpdrsNzNYJUrhWwn+dsKpF8VrHbAIgsZUqp4moN+IFFGkZvYm6oPfW8NE76MeKOsMWVg==" saltValue="yJcU0W99MUdxhlAKPdUOOw==" spinCount="100000" sheet="1" objects="1" scenarios="1"/>
  <sortState xmlns:xlrd2="http://schemas.microsoft.com/office/spreadsheetml/2017/richdata2" ref="C9:E43">
    <sortCondition ref="C9:C43"/>
  </sortState>
  <conditionalFormatting sqref="C36:E43 C35 E35 C9:E34">
    <cfRule type="expression" dxfId="1" priority="3">
      <formula>MOD(ROW(),2)=0</formula>
    </cfRule>
    <cfRule type="expression" priority="4">
      <formula>MOD(COLUMN(),2)=0</formula>
    </cfRule>
  </conditionalFormatting>
  <conditionalFormatting sqref="D35">
    <cfRule type="expression" dxfId="0" priority="1">
      <formula>MOD(ROW(),2)=0</formula>
    </cfRule>
    <cfRule type="expression" priority="2">
      <formula>MOD(COLUMN(),2)=0</formula>
    </cfRule>
  </conditionalFormatting>
  <hyperlinks>
    <hyperlink ref="E40" r:id="rId1" xr:uid="{00000000-0004-0000-0600-000001000000}"/>
    <hyperlink ref="E39" r:id="rId2" xr:uid="{00000000-0004-0000-0600-000002000000}"/>
    <hyperlink ref="E38" r:id="rId3" xr:uid="{00000000-0004-0000-0600-000003000000}"/>
    <hyperlink ref="E32" r:id="rId4" xr:uid="{00000000-0004-0000-0600-000004000000}"/>
    <hyperlink ref="E30" r:id="rId5" xr:uid="{00000000-0004-0000-0600-000005000000}"/>
    <hyperlink ref="E33" r:id="rId6" xr:uid="{00000000-0004-0000-0600-000006000000}"/>
    <hyperlink ref="E9" r:id="rId7" xr:uid="{00000000-0004-0000-0600-000007000000}"/>
    <hyperlink ref="E34" r:id="rId8" xr:uid="{00000000-0004-0000-0600-000008000000}"/>
    <hyperlink ref="E16" r:id="rId9" xr:uid="{00000000-0004-0000-0600-000009000000}"/>
    <hyperlink ref="E19" r:id="rId10" xr:uid="{00000000-0004-0000-0600-00000A000000}"/>
    <hyperlink ref="E20" r:id="rId11" xr:uid="{00000000-0004-0000-0600-00000B000000}"/>
    <hyperlink ref="E21" r:id="rId12" xr:uid="{00000000-0004-0000-0600-00000C000000}"/>
    <hyperlink ref="E25" r:id="rId13" xr:uid="{00000000-0004-0000-0600-00000D000000}"/>
    <hyperlink ref="E28" r:id="rId14" xr:uid="{00000000-0004-0000-0600-00000E000000}"/>
    <hyperlink ref="E27" r:id="rId15" xr:uid="{00000000-0004-0000-0600-00000F000000}"/>
    <hyperlink ref="E31" r:id="rId16" xr:uid="{00000000-0004-0000-0600-000010000000}"/>
    <hyperlink ref="E14" r:id="rId17" xr:uid="{00000000-0004-0000-0600-000011000000}"/>
    <hyperlink ref="E37" r:id="rId18" xr:uid="{00000000-0004-0000-0600-000012000000}"/>
    <hyperlink ref="E13" r:id="rId19" xr:uid="{00000000-0004-0000-0600-000014000000}"/>
    <hyperlink ref="E18" r:id="rId20" xr:uid="{00000000-0004-0000-0600-000015000000}"/>
    <hyperlink ref="E17" r:id="rId21" xr:uid="{00000000-0004-0000-0600-000016000000}"/>
    <hyperlink ref="E42" r:id="rId22" xr:uid="{00000000-0004-0000-0600-000017000000}"/>
    <hyperlink ref="E35" r:id="rId23" xr:uid="{00000000-0004-0000-0600-000018000000}"/>
    <hyperlink ref="E41" r:id="rId24" xr:uid="{25D79177-5598-4074-94BF-64E8F3D39FD2}"/>
    <hyperlink ref="E29" r:id="rId25" xr:uid="{ECF925DC-F5BF-463F-A08F-F01F4F614804}"/>
    <hyperlink ref="E11" r:id="rId26" xr:uid="{70AAAD24-3B35-425B-AA5B-FB5D83EDC5BA}"/>
    <hyperlink ref="E12" r:id="rId27" xr:uid="{F6A5482F-AE5B-4A51-BB41-7707AE1567DD}"/>
    <hyperlink ref="E10" r:id="rId28" xr:uid="{BAB020D9-A457-4DA9-889F-153DFFF33485}"/>
  </hyperlinks>
  <pageMargins left="0.7" right="0.7" top="0.78740157499999996" bottom="0.78740157499999996" header="0.3" footer="0.3"/>
  <pageSetup paperSize="9" orientation="portrait" r:id="rId2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Impressum</vt:lpstr>
      <vt:lpstr>Description</vt:lpstr>
      <vt:lpstr>Calculator</vt:lpstr>
      <vt:lpstr>Results</vt:lpstr>
      <vt:lpstr>Chart table</vt:lpstr>
      <vt:lpstr>Input_Prices</vt:lpstr>
      <vt:lpstr>Input_Processes</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2022-12-16T17:11:52Z</dcterms:modified>
</cp:coreProperties>
</file>